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usdagcc-my.sharepoint.com/personal/allen_torbert_usda_gov/Documents/Desktop/Hold it folder/Good grief more holding/ESTIMATING FARM MACHINERY COSTS/GENERAL MACHINERY SPECS/"/>
    </mc:Choice>
  </mc:AlternateContent>
  <xr:revisionPtr revIDLastSave="968" documentId="8_{BDADFF7D-AFAC-4E95-9416-D9FB1CBA43E7}" xr6:coauthVersionLast="47" xr6:coauthVersionMax="47" xr10:uidLastSave="{2684E99C-A6C8-43AD-A83B-B192ECB75626}"/>
  <bookViews>
    <workbookView xWindow="30885" yWindow="615" windowWidth="21600" windowHeight="11295" tabRatio="915" activeTab="3" xr2:uid="{9E81F15C-A62E-4F09-9ADB-78D5191E9418}"/>
  </bookViews>
  <sheets>
    <sheet name="Introduction" sheetId="1" r:id="rId1"/>
    <sheet name="Disclaimer" sheetId="2" r:id="rId2"/>
    <sheet name="Instructions" sheetId="3" r:id="rId3"/>
    <sheet name="Tractor &amp; Imp Costs" sheetId="4" r:id="rId4"/>
    <sheet name="Self Propelled Costs" sheetId="5" r:id="rId5"/>
    <sheet name="1 ASABE Salvage Value" sheetId="6" r:id="rId6"/>
    <sheet name="2 ASABE Capital Recovery" sheetId="7" r:id="rId7"/>
    <sheet name="3 ASABE Repairs" sheetId="8" r:id="rId8"/>
    <sheet name="4 Self Propelled" sheetId="9" r:id="rId9"/>
    <sheet name="5 Towed Implements" sheetId="10" r:id="rId10"/>
    <sheet name="6 Combine_Tractor_UTV" sheetId="11" r:id="rId11"/>
    <sheet name="Lists" sheetId="12" r:id="rId12"/>
    <sheet name="References" sheetId="13" r:id="rId13"/>
    <sheet name="Formulas" sheetId="14" r:id="rId14"/>
    <sheet name="Definitions" sheetId="15"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1" i="5" l="1"/>
  <c r="G17" i="5"/>
  <c r="O19" i="5" s="1"/>
  <c r="O20" i="5" s="1"/>
  <c r="G16" i="5"/>
  <c r="G15" i="5"/>
  <c r="G31" i="5" s="1"/>
  <c r="G14" i="5"/>
  <c r="O7" i="5" s="1"/>
  <c r="G8" i="5"/>
  <c r="O8" i="5" l="1"/>
  <c r="O9" i="5" s="1"/>
  <c r="O10" i="5"/>
  <c r="O17" i="5"/>
  <c r="G18" i="5"/>
  <c r="O11" i="5" l="1"/>
  <c r="O12" i="5" s="1"/>
  <c r="O18" i="5"/>
  <c r="O22" i="5" s="1"/>
  <c r="O27" i="5" l="1"/>
  <c r="O29" i="5" s="1"/>
  <c r="Q21" i="4" l="1"/>
  <c r="I16" i="4" l="1"/>
  <c r="I15" i="4"/>
  <c r="I14" i="4"/>
  <c r="I8" i="4"/>
  <c r="G6" i="4"/>
  <c r="L38" i="11"/>
  <c r="L37" i="11"/>
  <c r="P389" i="10"/>
  <c r="B389" i="10"/>
  <c r="P388" i="10"/>
  <c r="B388" i="10"/>
  <c r="P387" i="10"/>
  <c r="B387" i="10"/>
  <c r="P386" i="10"/>
  <c r="B386" i="10"/>
  <c r="P385" i="10"/>
  <c r="B385" i="10"/>
  <c r="P384" i="10"/>
  <c r="B384" i="10"/>
  <c r="P383" i="10"/>
  <c r="B383" i="10"/>
  <c r="P382" i="10"/>
  <c r="B382" i="10"/>
  <c r="P381" i="10"/>
  <c r="P380" i="10"/>
  <c r="P379" i="10"/>
  <c r="P378" i="10"/>
  <c r="P377" i="10"/>
  <c r="P376" i="10"/>
  <c r="P375" i="10"/>
  <c r="P374" i="10"/>
  <c r="P373" i="10"/>
  <c r="P372" i="10"/>
  <c r="P371" i="10"/>
  <c r="P370" i="10"/>
  <c r="P369" i="10"/>
  <c r="P368" i="10"/>
  <c r="P367" i="10"/>
  <c r="P366" i="10"/>
  <c r="P365" i="10"/>
  <c r="P364" i="10"/>
  <c r="B364" i="10"/>
  <c r="P363" i="10"/>
  <c r="B363" i="10"/>
  <c r="P362" i="10"/>
  <c r="B362" i="10"/>
  <c r="P361" i="10"/>
  <c r="B361" i="10"/>
  <c r="P360" i="10"/>
  <c r="B360" i="10"/>
  <c r="P359" i="10"/>
  <c r="B359" i="10"/>
  <c r="P358" i="10"/>
  <c r="B358" i="10"/>
  <c r="P357" i="10"/>
  <c r="B357" i="10"/>
  <c r="P356" i="10"/>
  <c r="B356" i="10"/>
  <c r="P355" i="10"/>
  <c r="B355" i="10"/>
  <c r="P354" i="10"/>
  <c r="P353" i="10"/>
  <c r="P352" i="10"/>
  <c r="P351" i="10"/>
  <c r="P350" i="10"/>
  <c r="P349" i="10"/>
  <c r="P348" i="10"/>
  <c r="P347" i="10"/>
  <c r="P346" i="10"/>
  <c r="P345" i="10"/>
  <c r="P344" i="10"/>
  <c r="P343" i="10"/>
  <c r="P342" i="10"/>
  <c r="P341" i="10"/>
  <c r="P340" i="10"/>
  <c r="P339" i="10"/>
  <c r="B339" i="10"/>
  <c r="P338" i="10"/>
  <c r="P337" i="10"/>
  <c r="P336" i="10"/>
  <c r="P335" i="10"/>
  <c r="P334" i="10"/>
  <c r="P333" i="10"/>
  <c r="P332" i="10"/>
  <c r="P331" i="10"/>
  <c r="P330" i="10"/>
  <c r="P329" i="10"/>
  <c r="P328" i="10"/>
  <c r="P327" i="10"/>
  <c r="P326" i="10"/>
  <c r="P325" i="10"/>
  <c r="P324" i="10"/>
  <c r="P323" i="10"/>
  <c r="P322" i="10"/>
  <c r="P321" i="10"/>
  <c r="P320" i="10"/>
  <c r="P319" i="10"/>
  <c r="P318" i="10"/>
  <c r="P317" i="10"/>
  <c r="P316" i="10"/>
  <c r="P315" i="10"/>
  <c r="P314" i="10"/>
  <c r="P313" i="10"/>
  <c r="P312" i="10"/>
  <c r="B312" i="10"/>
  <c r="P311" i="10"/>
  <c r="B311" i="10"/>
  <c r="P310" i="10"/>
  <c r="B310" i="10"/>
  <c r="P309" i="10"/>
  <c r="B309" i="10"/>
  <c r="P308" i="10"/>
  <c r="B308" i="10"/>
  <c r="P307" i="10"/>
  <c r="B307" i="10"/>
  <c r="P306" i="10"/>
  <c r="B306" i="10"/>
  <c r="P305" i="10"/>
  <c r="B305" i="10"/>
  <c r="P304" i="10"/>
  <c r="B304" i="10"/>
  <c r="P303" i="10"/>
  <c r="B303" i="10"/>
  <c r="P302" i="10"/>
  <c r="B302" i="10"/>
  <c r="P301" i="10"/>
  <c r="B301" i="10"/>
  <c r="P300" i="10"/>
  <c r="B300" i="10"/>
  <c r="P299" i="10"/>
  <c r="B299" i="10"/>
  <c r="P298" i="10"/>
  <c r="B298" i="10"/>
  <c r="P297" i="10"/>
  <c r="B297" i="10"/>
  <c r="P296" i="10"/>
  <c r="B296" i="10"/>
  <c r="P295" i="10"/>
  <c r="B295" i="10"/>
  <c r="P294" i="10"/>
  <c r="B294" i="10"/>
  <c r="P293" i="10"/>
  <c r="B293" i="10"/>
  <c r="P292" i="10"/>
  <c r="B292" i="10"/>
  <c r="P291" i="10"/>
  <c r="B291" i="10"/>
  <c r="P290" i="10"/>
  <c r="B290" i="10"/>
  <c r="P289" i="10"/>
  <c r="B289" i="10"/>
  <c r="P288" i="10"/>
  <c r="B288" i="10"/>
  <c r="P287" i="10"/>
  <c r="B287" i="10"/>
  <c r="P286" i="10"/>
  <c r="B286" i="10"/>
  <c r="P285" i="10"/>
  <c r="B285" i="10"/>
  <c r="P284" i="10"/>
  <c r="B284" i="10"/>
  <c r="P283" i="10"/>
  <c r="B283" i="10"/>
  <c r="P282" i="10"/>
  <c r="B282" i="10"/>
  <c r="P281" i="10"/>
  <c r="B281" i="10"/>
  <c r="P280" i="10"/>
  <c r="B280" i="10"/>
  <c r="P279" i="10"/>
  <c r="B279" i="10"/>
  <c r="P278" i="10"/>
  <c r="B278" i="10"/>
  <c r="P277" i="10"/>
  <c r="B277" i="10"/>
  <c r="P276" i="10"/>
  <c r="B276" i="10"/>
  <c r="P275" i="10"/>
  <c r="B275" i="10"/>
  <c r="P274" i="10"/>
  <c r="B274" i="10"/>
  <c r="P273" i="10"/>
  <c r="B273" i="10"/>
  <c r="P272" i="10"/>
  <c r="B272" i="10"/>
  <c r="P271" i="10"/>
  <c r="B271" i="10"/>
  <c r="P270" i="10"/>
  <c r="B270" i="10"/>
  <c r="P269" i="10"/>
  <c r="B269" i="10"/>
  <c r="P268" i="10"/>
  <c r="B268" i="10"/>
  <c r="P267" i="10"/>
  <c r="B267" i="10"/>
  <c r="P266" i="10"/>
  <c r="B266" i="10"/>
  <c r="P265" i="10"/>
  <c r="B265" i="10"/>
  <c r="P264" i="10"/>
  <c r="P263" i="10"/>
  <c r="P262" i="10"/>
  <c r="B262" i="10"/>
  <c r="P261" i="10"/>
  <c r="B261" i="10"/>
  <c r="P260" i="10"/>
  <c r="B260" i="10"/>
  <c r="P259" i="10"/>
  <c r="B259" i="10"/>
  <c r="P258" i="10"/>
  <c r="B258" i="10"/>
  <c r="P257" i="10"/>
  <c r="B257" i="10"/>
  <c r="P256" i="10"/>
  <c r="B256" i="10"/>
  <c r="P255" i="10"/>
  <c r="B255" i="10"/>
  <c r="P254" i="10"/>
  <c r="B254" i="10"/>
  <c r="P253" i="10"/>
  <c r="B253" i="10"/>
  <c r="P252" i="10"/>
  <c r="B252" i="10"/>
  <c r="P251" i="10"/>
  <c r="B251" i="10"/>
  <c r="P250" i="10"/>
  <c r="B250" i="10"/>
  <c r="P249" i="10"/>
  <c r="B249" i="10"/>
  <c r="P248" i="10"/>
  <c r="B248" i="10"/>
  <c r="P247" i="10"/>
  <c r="B247" i="10"/>
  <c r="P246" i="10"/>
  <c r="B246" i="10"/>
  <c r="P245" i="10"/>
  <c r="B245" i="10"/>
  <c r="P244" i="10"/>
  <c r="B244" i="10"/>
  <c r="P243" i="10"/>
  <c r="B243" i="10"/>
  <c r="P242" i="10"/>
  <c r="B242" i="10"/>
  <c r="P241" i="10"/>
  <c r="B241" i="10"/>
  <c r="P240" i="10"/>
  <c r="B240" i="10"/>
  <c r="P239" i="10"/>
  <c r="B239" i="10"/>
  <c r="P238" i="10"/>
  <c r="B238" i="10"/>
  <c r="P237" i="10"/>
  <c r="B237" i="10"/>
  <c r="P236" i="10"/>
  <c r="B236" i="10"/>
  <c r="P235" i="10"/>
  <c r="B235" i="10"/>
  <c r="P234" i="10"/>
  <c r="B234" i="10"/>
  <c r="P233" i="10"/>
  <c r="B233" i="10"/>
  <c r="P232" i="10"/>
  <c r="B232" i="10"/>
  <c r="P231" i="10"/>
  <c r="B231" i="10"/>
  <c r="P230" i="10"/>
  <c r="B230" i="10"/>
  <c r="P229" i="10"/>
  <c r="B229" i="10"/>
  <c r="P228" i="10"/>
  <c r="B228" i="10"/>
  <c r="P227" i="10"/>
  <c r="B227" i="10"/>
  <c r="P226" i="10"/>
  <c r="B226" i="10"/>
  <c r="P225" i="10"/>
  <c r="B225" i="10"/>
  <c r="P224" i="10"/>
  <c r="B224" i="10"/>
  <c r="P223" i="10"/>
  <c r="B223" i="10"/>
  <c r="P222" i="10"/>
  <c r="B222" i="10"/>
  <c r="P221" i="10"/>
  <c r="B221" i="10"/>
  <c r="P220" i="10"/>
  <c r="B220" i="10"/>
  <c r="P219" i="10"/>
  <c r="B219" i="10"/>
  <c r="P218" i="10"/>
  <c r="B218" i="10"/>
  <c r="P217" i="10"/>
  <c r="B217" i="10"/>
  <c r="P216" i="10"/>
  <c r="B216" i="10"/>
  <c r="P215" i="10"/>
  <c r="B215" i="10"/>
  <c r="P214" i="10"/>
  <c r="B214" i="10"/>
  <c r="P213" i="10"/>
  <c r="B213" i="10"/>
  <c r="P212" i="10"/>
  <c r="B212" i="10"/>
  <c r="P211" i="10"/>
  <c r="B211" i="10"/>
  <c r="P210" i="10"/>
  <c r="B210" i="10"/>
  <c r="P209" i="10"/>
  <c r="B209" i="10"/>
  <c r="P208" i="10"/>
  <c r="B208" i="10"/>
  <c r="P207" i="10"/>
  <c r="B207" i="10"/>
  <c r="P206" i="10"/>
  <c r="B206" i="10"/>
  <c r="P205" i="10"/>
  <c r="B205" i="10"/>
  <c r="P204" i="10"/>
  <c r="B204" i="10"/>
  <c r="P203" i="10"/>
  <c r="B203" i="10"/>
  <c r="P202" i="10"/>
  <c r="B202" i="10"/>
  <c r="P201" i="10"/>
  <c r="B201" i="10"/>
  <c r="P200" i="10"/>
  <c r="P199" i="10"/>
  <c r="P198" i="10"/>
  <c r="P197" i="10"/>
  <c r="P196" i="10"/>
  <c r="P195" i="10"/>
  <c r="P194" i="10"/>
  <c r="P193" i="10"/>
  <c r="P192" i="10"/>
  <c r="P191" i="10"/>
  <c r="P190" i="10"/>
  <c r="P189" i="10"/>
  <c r="P188" i="10"/>
  <c r="P187" i="10"/>
  <c r="B187" i="10"/>
  <c r="P186" i="10"/>
  <c r="B186" i="10"/>
  <c r="P185" i="10"/>
  <c r="B185" i="10"/>
  <c r="P184" i="10"/>
  <c r="B184" i="10"/>
  <c r="P183" i="10"/>
  <c r="B183" i="10"/>
  <c r="P182" i="10"/>
  <c r="B182" i="10"/>
  <c r="P181" i="10"/>
  <c r="B181" i="10"/>
  <c r="P180" i="10"/>
  <c r="B180" i="10"/>
  <c r="P179" i="10"/>
  <c r="P178" i="10"/>
  <c r="P177" i="10"/>
  <c r="P176" i="10"/>
  <c r="P175" i="10"/>
  <c r="P174" i="10"/>
  <c r="P173" i="10"/>
  <c r="P172" i="10"/>
  <c r="P171" i="10"/>
  <c r="P170" i="10"/>
  <c r="P169" i="10"/>
  <c r="P168" i="10"/>
  <c r="P167" i="10"/>
  <c r="P166" i="10"/>
  <c r="P165" i="10"/>
  <c r="P164" i="10"/>
  <c r="P163" i="10"/>
  <c r="P162" i="10"/>
  <c r="P161" i="10"/>
  <c r="P160" i="10"/>
  <c r="P159" i="10"/>
  <c r="P158" i="10"/>
  <c r="P157" i="10"/>
  <c r="B157" i="10"/>
  <c r="P156" i="10"/>
  <c r="B156" i="10"/>
  <c r="P155" i="10"/>
  <c r="B155" i="10"/>
  <c r="P154" i="10"/>
  <c r="B154" i="10"/>
  <c r="P153" i="10"/>
  <c r="B153" i="10"/>
  <c r="P152" i="10"/>
  <c r="B152" i="10"/>
  <c r="P151" i="10"/>
  <c r="P150" i="10"/>
  <c r="P149" i="10"/>
  <c r="P148" i="10"/>
  <c r="P147" i="10"/>
  <c r="P146" i="10"/>
  <c r="P145" i="10"/>
  <c r="P144" i="10"/>
  <c r="P143" i="10"/>
  <c r="P142" i="10"/>
  <c r="P141" i="10"/>
  <c r="P140" i="10"/>
  <c r="P139" i="10"/>
  <c r="P138" i="10"/>
  <c r="P137" i="10"/>
  <c r="P136" i="10"/>
  <c r="P135" i="10"/>
  <c r="P134" i="10"/>
  <c r="P133" i="10"/>
  <c r="B133" i="10"/>
  <c r="P132" i="10"/>
  <c r="P131" i="10"/>
  <c r="P130" i="10"/>
  <c r="P129" i="10"/>
  <c r="P128" i="10"/>
  <c r="P127" i="10"/>
  <c r="P126" i="10"/>
  <c r="P125" i="10"/>
  <c r="P124" i="10"/>
  <c r="P123" i="10"/>
  <c r="P122" i="10"/>
  <c r="P121" i="10"/>
  <c r="P120" i="10"/>
  <c r="P119" i="10"/>
  <c r="P118" i="10"/>
  <c r="P117" i="10"/>
  <c r="P116" i="10"/>
  <c r="P115" i="10"/>
  <c r="P114" i="10"/>
  <c r="P113" i="10"/>
  <c r="P112" i="10"/>
  <c r="P111" i="10"/>
  <c r="P110" i="10"/>
  <c r="B110" i="10"/>
  <c r="P109" i="10"/>
  <c r="B109" i="10"/>
  <c r="P108" i="10"/>
  <c r="B108" i="10"/>
  <c r="P107" i="10"/>
  <c r="B107" i="10"/>
  <c r="P106" i="10"/>
  <c r="B106" i="10"/>
  <c r="P105" i="10"/>
  <c r="B105" i="10"/>
  <c r="P104" i="10"/>
  <c r="B104" i="10"/>
  <c r="P103" i="10"/>
  <c r="B103" i="10"/>
  <c r="P102" i="10"/>
  <c r="P101" i="10"/>
  <c r="P100" i="10"/>
  <c r="P99" i="10"/>
  <c r="P98" i="10"/>
  <c r="P97" i="10"/>
  <c r="P96" i="10"/>
  <c r="P95" i="10"/>
  <c r="P94" i="10"/>
  <c r="P93" i="10"/>
  <c r="P92" i="10"/>
  <c r="P91" i="10"/>
  <c r="P90" i="10"/>
  <c r="P89" i="10"/>
  <c r="P88" i="10"/>
  <c r="P87" i="10"/>
  <c r="P86" i="10"/>
  <c r="P85" i="10"/>
  <c r="B85" i="10"/>
  <c r="P84" i="10"/>
  <c r="B84" i="10"/>
  <c r="P83" i="10"/>
  <c r="B83" i="10"/>
  <c r="P82" i="10"/>
  <c r="B82" i="10"/>
  <c r="P81" i="10"/>
  <c r="B81" i="10"/>
  <c r="P80" i="10"/>
  <c r="B80" i="10"/>
  <c r="P79" i="10"/>
  <c r="B79" i="10"/>
  <c r="P78" i="10"/>
  <c r="B78" i="10"/>
  <c r="P77" i="10"/>
  <c r="B77" i="10"/>
  <c r="P76" i="10"/>
  <c r="B76" i="10"/>
  <c r="P75" i="10"/>
  <c r="B75" i="10"/>
  <c r="P74" i="10"/>
  <c r="B74" i="10"/>
  <c r="P73" i="10"/>
  <c r="B73" i="10"/>
  <c r="P72" i="10"/>
  <c r="B72" i="10"/>
  <c r="P71" i="10"/>
  <c r="B71" i="10"/>
  <c r="P70" i="10"/>
  <c r="B70" i="10"/>
  <c r="P69" i="10"/>
  <c r="B69" i="10"/>
  <c r="P68" i="10"/>
  <c r="B68" i="10"/>
  <c r="P67" i="10"/>
  <c r="B67" i="10"/>
  <c r="P66" i="10"/>
  <c r="B66" i="10"/>
  <c r="P65" i="10"/>
  <c r="P64" i="10"/>
  <c r="P63" i="10"/>
  <c r="P62" i="10"/>
  <c r="P61" i="10"/>
  <c r="P60" i="10"/>
  <c r="P59" i="10"/>
  <c r="P58" i="10"/>
  <c r="P57" i="10"/>
  <c r="P56" i="10"/>
  <c r="B56" i="10"/>
  <c r="P55" i="10"/>
  <c r="B55" i="10"/>
  <c r="P54" i="10"/>
  <c r="B54" i="10"/>
  <c r="P53" i="10"/>
  <c r="B53" i="10"/>
  <c r="P52" i="10"/>
  <c r="B52" i="10"/>
  <c r="P51" i="10"/>
  <c r="B51" i="10"/>
  <c r="P50" i="10"/>
  <c r="B50" i="10"/>
  <c r="P49" i="10"/>
  <c r="B49" i="10"/>
  <c r="P48" i="10"/>
  <c r="B48" i="10"/>
  <c r="P47" i="10"/>
  <c r="B47" i="10"/>
  <c r="P46" i="10"/>
  <c r="B46" i="10"/>
  <c r="P45" i="10"/>
  <c r="B45" i="10"/>
  <c r="P44" i="10"/>
  <c r="B44" i="10"/>
  <c r="P43" i="10"/>
  <c r="B43" i="10"/>
  <c r="P42" i="10"/>
  <c r="B42" i="10"/>
  <c r="P41" i="10"/>
  <c r="B41" i="10"/>
  <c r="P40" i="10"/>
  <c r="B40" i="10"/>
  <c r="P39" i="10"/>
  <c r="B39" i="10"/>
  <c r="P38" i="10"/>
  <c r="B38" i="10"/>
  <c r="P37" i="10"/>
  <c r="B37" i="10"/>
  <c r="P36" i="10"/>
  <c r="B36" i="10"/>
  <c r="P35" i="10"/>
  <c r="B35" i="10"/>
  <c r="P34" i="10"/>
  <c r="B34" i="10"/>
  <c r="P33" i="10"/>
  <c r="B33" i="10"/>
  <c r="P32" i="10"/>
  <c r="B32" i="10"/>
  <c r="P31" i="10"/>
  <c r="B31" i="10"/>
  <c r="P30" i="10"/>
  <c r="B30" i="10"/>
  <c r="P29" i="10"/>
  <c r="B29" i="10"/>
  <c r="P28" i="10"/>
  <c r="B28" i="10"/>
  <c r="P27" i="10"/>
  <c r="B27" i="10"/>
  <c r="P26" i="10"/>
  <c r="B26" i="10"/>
  <c r="P25" i="10"/>
  <c r="B25" i="10"/>
  <c r="P24" i="10"/>
  <c r="B24" i="10"/>
  <c r="P23" i="10"/>
  <c r="B23" i="10"/>
  <c r="P22" i="10"/>
  <c r="B22" i="10"/>
  <c r="P21" i="10"/>
  <c r="B21" i="10"/>
  <c r="P20" i="10"/>
  <c r="B20" i="10"/>
  <c r="P19" i="10"/>
  <c r="B19" i="10"/>
  <c r="P18" i="10"/>
  <c r="B18" i="10"/>
  <c r="P17" i="10"/>
  <c r="B17" i="10"/>
  <c r="P16" i="10"/>
  <c r="B16" i="10"/>
  <c r="P15" i="10"/>
  <c r="B15" i="10"/>
  <c r="P14" i="10"/>
  <c r="B14" i="10"/>
  <c r="P13" i="10"/>
  <c r="B13" i="10"/>
  <c r="P12" i="10"/>
  <c r="B12" i="10"/>
  <c r="P11" i="10"/>
  <c r="B11" i="10"/>
  <c r="P10" i="10"/>
  <c r="B10" i="10"/>
  <c r="P9" i="10"/>
  <c r="B9" i="10"/>
  <c r="P8" i="10"/>
  <c r="B8" i="10"/>
  <c r="P7" i="10"/>
  <c r="B7" i="10"/>
  <c r="P6" i="10"/>
  <c r="B6" i="10"/>
  <c r="P5" i="10"/>
  <c r="B5" i="10"/>
  <c r="P4" i="10"/>
  <c r="B4" i="10"/>
  <c r="M20" i="9"/>
  <c r="M19" i="9"/>
  <c r="M18" i="9"/>
  <c r="M17" i="9"/>
  <c r="M16" i="9"/>
  <c r="M15" i="9"/>
  <c r="M14" i="9"/>
  <c r="M13" i="9"/>
  <c r="M12" i="9"/>
  <c r="M11" i="9"/>
  <c r="M10" i="9"/>
  <c r="M9" i="9"/>
  <c r="M8" i="9"/>
  <c r="M7" i="9"/>
  <c r="M6" i="9"/>
  <c r="M5" i="9"/>
  <c r="M4" i="9"/>
  <c r="G16" i="4" l="1"/>
  <c r="G14" i="4"/>
  <c r="S7" i="4"/>
  <c r="S17" i="4"/>
  <c r="I31" i="4"/>
  <c r="I18" i="4"/>
  <c r="G17" i="4"/>
  <c r="Q19" i="4" s="1"/>
  <c r="Q20" i="4" s="1"/>
  <c r="G15" i="4"/>
  <c r="S18" i="4" l="1"/>
  <c r="S22" i="4" s="1"/>
  <c r="S10" i="4"/>
  <c r="S8" i="4"/>
  <c r="S9" i="4" s="1"/>
  <c r="Q7" i="4"/>
  <c r="Q17" i="4"/>
  <c r="G31" i="4"/>
  <c r="G18" i="4"/>
  <c r="S11" i="4" l="1"/>
  <c r="S12" i="4" s="1"/>
  <c r="S27" i="4" s="1"/>
  <c r="Q18" i="4"/>
  <c r="Q22" i="4" s="1"/>
  <c r="Q10" i="4"/>
  <c r="Q8" i="4"/>
  <c r="Q9" i="4" s="1"/>
  <c r="Q11" i="4" l="1"/>
  <c r="Q12" i="4" s="1"/>
  <c r="Q27" i="4" s="1"/>
  <c r="Q29" i="4" s="1"/>
  <c r="Q31" i="4" s="1"/>
</calcChain>
</file>

<file path=xl/sharedStrings.xml><?xml version="1.0" encoding="utf-8"?>
<sst xmlns="http://schemas.openxmlformats.org/spreadsheetml/2006/main" count="1227" uniqueCount="702">
  <si>
    <t>1a. Remaining Salvage Value (% new list price)</t>
  </si>
  <si>
    <t>30 - 79 HP Tractor</t>
  </si>
  <si>
    <t>80 -149 HP Tractor</t>
  </si>
  <si>
    <t>150+ HP Tractor</t>
  </si>
  <si>
    <t>Combine, Forage Harvester</t>
  </si>
  <si>
    <t>Annual Hours</t>
  </si>
  <si>
    <t>Age</t>
  </si>
  <si>
    <t>*Source: American Society of Agricultural and Biological Engineers</t>
  </si>
  <si>
    <t>1b. Remaining Salvage Value (% new list price)</t>
  </si>
  <si>
    <t>Plows</t>
  </si>
  <si>
    <t>Other
Tillage</t>
  </si>
  <si>
    <t>Planter,
Drill, Sprayer</t>
  </si>
  <si>
    <t>Mower, 
Chopper</t>
  </si>
  <si>
    <t>Baler</t>
  </si>
  <si>
    <t>Swather,
Rake</t>
  </si>
  <si>
    <t>Vehicle</t>
  </si>
  <si>
    <t>Other</t>
  </si>
  <si>
    <t>Table 2. Capital Recovery Factors</t>
  </si>
  <si>
    <t>Table 3. Accumulated Repair Costs (% new list price)</t>
  </si>
  <si>
    <t>Machinery Type</t>
  </si>
  <si>
    <t>Accumulated Hours</t>
  </si>
  <si>
    <t>Tractor 2WD</t>
  </si>
  <si>
    <t>Tractor 4WD</t>
  </si>
  <si>
    <t>Moldboard Plow</t>
  </si>
  <si>
    <t>HD Disk</t>
  </si>
  <si>
    <t>Tandem Disk</t>
  </si>
  <si>
    <t>Chisel Plow</t>
  </si>
  <si>
    <t>Field Cultivator</t>
  </si>
  <si>
    <t>Harrow</t>
  </si>
  <si>
    <t>Roller-Packer, Mulcher</t>
  </si>
  <si>
    <t>Rotary Hoe</t>
  </si>
  <si>
    <t>Row Cultivator</t>
  </si>
  <si>
    <t>Combine Heads</t>
  </si>
  <si>
    <t>Potato Harvester</t>
  </si>
  <si>
    <t>Mower-Conditioner</t>
  </si>
  <si>
    <t>Mower-Conditioner (Rotary)</t>
  </si>
  <si>
    <t>Rake</t>
  </si>
  <si>
    <t>Rectangular baler</t>
  </si>
  <si>
    <t>Large Square baler</t>
  </si>
  <si>
    <t>Forage Harvester (Pull)</t>
  </si>
  <si>
    <t>Forage Harvester (SP)</t>
  </si>
  <si>
    <t>Combine (SP)</t>
  </si>
  <si>
    <t>Windrower (SP)</t>
  </si>
  <si>
    <t>Cotton Picker (SP)</t>
  </si>
  <si>
    <t>Mower (Sickle)</t>
  </si>
  <si>
    <t>Mower (Rotary)</t>
  </si>
  <si>
    <t>Large Round Baler</t>
  </si>
  <si>
    <t>Sugar Beet Harvester</t>
  </si>
  <si>
    <t>Rotary Tiller</t>
  </si>
  <si>
    <t>Row Crop Planter</t>
  </si>
  <si>
    <t>Grain Drill</t>
  </si>
  <si>
    <t>Fertilizer Spreader</t>
  </si>
  <si>
    <t>Boom-Type Sprayer</t>
  </si>
  <si>
    <t>Air-Carrier Sprayer</t>
  </si>
  <si>
    <t>Bean Puller-Windrower</t>
  </si>
  <si>
    <t>Stalk Chopper</t>
  </si>
  <si>
    <t>Forage Blower</t>
  </si>
  <si>
    <t>Wagon</t>
  </si>
  <si>
    <t>Forage Wagon</t>
  </si>
  <si>
    <t>EQUIPMENT/SIZE</t>
  </si>
  <si>
    <t>PURCHASE 
PRICE ($)</t>
  </si>
  <si>
    <t>ANNUAL 
USE 
(HOURS)</t>
  </si>
  <si>
    <t>USEFUL 
LIFE 
(YEARS)</t>
  </si>
  <si>
    <t>FUEL 
USE 
(GAL/HR)</t>
  </si>
  <si>
    <t>PERF_RATE
(HR/ACRE)</t>
  </si>
  <si>
    <t>LABOR 
($/ACRE)</t>
  </si>
  <si>
    <t>FUEL 
($/ACRE)</t>
  </si>
  <si>
    <t>R&amp;M 
($/ACRE)</t>
  </si>
  <si>
    <t>TOTAL_DIRECT 
($/ACRE)</t>
  </si>
  <si>
    <t>FIXED 
($/ACRE)</t>
  </si>
  <si>
    <t>TOTAL_COST
($/ACRE)</t>
  </si>
  <si>
    <t>FIELD
CAPACITY
(ACRES/HR)</t>
  </si>
  <si>
    <t>HP</t>
  </si>
  <si>
    <t>None</t>
  </si>
  <si>
    <t>COTTONPICKER_04R38"_250HP</t>
  </si>
  <si>
    <t>COTTONPICKER_04R38"_350HP</t>
  </si>
  <si>
    <t>COTTONPICKER_04ROW(2x1)_350HP</t>
  </si>
  <si>
    <t>COTTONPICKER_06R30"_355HP</t>
  </si>
  <si>
    <t>COTTONPICKER_06R38"_355HP</t>
  </si>
  <si>
    <t>COTTONPICKER_MODULE_04R38"_365HP</t>
  </si>
  <si>
    <t>COTTONPICKER_MODULE_06R30"_500HP</t>
  </si>
  <si>
    <t>COTTONPICKER_MODULE_06R38"_500HP</t>
  </si>
  <si>
    <t>DRYAPPLICATOR_SP_070'_300CUFT</t>
  </si>
  <si>
    <t>SPAYER(0600-0750GAL)_060'_175HP</t>
  </si>
  <si>
    <t>SPAYER(0600-0825GAL)_080'_175HP</t>
  </si>
  <si>
    <t>SPAYER(0600-0825GAL)_090'_250HP</t>
  </si>
  <si>
    <t>SPAYER(0800GAL)_080'_250HP</t>
  </si>
  <si>
    <t>SPAYER(0800GAL)_100'_250HP</t>
  </si>
  <si>
    <t>SPAYER(1000-1400GAL)_090'_275HP</t>
  </si>
  <si>
    <t>SPAYER(1000GAL)_100'_300HP</t>
  </si>
  <si>
    <t>SPAYER(1200+GAL)_120'_300HP</t>
  </si>
  <si>
    <t>WIDTH 
(FEET)</t>
  </si>
  <si>
    <t>RECOMMENDED 
POWER UNIT</t>
  </si>
  <si>
    <t>ANNUAL 
USE (HOURS)</t>
  </si>
  <si>
    <t>R&amp;M_IMP 
($/ACRE)</t>
  </si>
  <si>
    <t>R&amp;M_PU 
($/ACRE)</t>
  </si>
  <si>
    <t>FIXED_IMP 
($/ACRE)</t>
  </si>
  <si>
    <t>FIXED_PU
($/ACRE)</t>
  </si>
  <si>
    <t>Bed_Disk_Hipper_04R38"</t>
  </si>
  <si>
    <t>TRACTOR_MFWD_150HP_CB</t>
  </si>
  <si>
    <t>Bed_Disk_Hipper_06R38"</t>
  </si>
  <si>
    <t>TRACTOR_MFWD_170HP_CB</t>
  </si>
  <si>
    <t>Bed_Disk_Hipper_08R30"</t>
  </si>
  <si>
    <t>TRACTOR_MFWD_190HP_CB</t>
  </si>
  <si>
    <t>Bed_Disk_Hipper_08R38"_(2x1)</t>
  </si>
  <si>
    <t>Bed_Disk_Hipper_12R30"</t>
  </si>
  <si>
    <t>TRACTOR_MFWD_225HP_CB</t>
  </si>
  <si>
    <t>Bed_Disk_Hipper_12R38"</t>
  </si>
  <si>
    <t>Bed_Disk_Hipper_16R40"</t>
  </si>
  <si>
    <t>TRACTOR_MFWD_300HP_CB</t>
  </si>
  <si>
    <t>Bed_Disk_Hipper_Folding_08R38"</t>
  </si>
  <si>
    <t>Bed_Disk_Hipper_Rigid_08R38"</t>
  </si>
  <si>
    <t>Bed_Disk_Roller_08R30"</t>
  </si>
  <si>
    <t>Bed_Disk_Roller_08R38"</t>
  </si>
  <si>
    <t>Bed_Disk_Roller_12R30-40"</t>
  </si>
  <si>
    <t>Bed_Lister_04R38"</t>
  </si>
  <si>
    <t>Bed_Lister_06R38"</t>
  </si>
  <si>
    <t>Bed_Lister_08R30"</t>
  </si>
  <si>
    <t>Bed_Lister_08R38"</t>
  </si>
  <si>
    <t>Bed_Lister_08R38"_(2x1)</t>
  </si>
  <si>
    <t>Bed_Lister_12R38"</t>
  </si>
  <si>
    <t>Bed_Lister_16R30"</t>
  </si>
  <si>
    <t>Bed_Lister_16R40"</t>
  </si>
  <si>
    <t>Bed_Lister_Roller_Folding_08R38"</t>
  </si>
  <si>
    <t>Bed_Lister_Roller_Folding_12R30"</t>
  </si>
  <si>
    <t>Bed_Lister_Roller_Folding_12R38"</t>
  </si>
  <si>
    <t>Bed_Lister_Roller_Folding_16R30"</t>
  </si>
  <si>
    <t>Bed_Lister_Roller_Rigid_08R38"</t>
  </si>
  <si>
    <t>Bed_Paratill_Roller_04R30"</t>
  </si>
  <si>
    <t>Bed_Paratill_Roller_04R38"</t>
  </si>
  <si>
    <t>Bed_Paratill_Roller_06R38"</t>
  </si>
  <si>
    <t>Bed_Ripper_Disk_Cond._06ROW</t>
  </si>
  <si>
    <t>Bed_Ripper_Disk_Cond._08ROW</t>
  </si>
  <si>
    <t>Bed_Ripper_Disk_Folding_08R38"</t>
  </si>
  <si>
    <t>Bed_Ripper_Disk_Folding_12R30"</t>
  </si>
  <si>
    <t>Bed_Ripper_Disk_Folding_12R38"</t>
  </si>
  <si>
    <t>Bed_Ripper_Disk_Rigid_04R30"</t>
  </si>
  <si>
    <t>Bed_Ripper_Disk_Rigid_04R38"</t>
  </si>
  <si>
    <t>Bed_Ripper_Disk_Rigid_06R30"</t>
  </si>
  <si>
    <t>Bed_Ripper_Disk_Rigid_06R38"</t>
  </si>
  <si>
    <t>Bed_Ripper_Disk_Rigid_08R30"</t>
  </si>
  <si>
    <t>Bed_Ripper_Disk_Rigid_08R38"</t>
  </si>
  <si>
    <t>Bed_Subsoil_Folding_08R38"</t>
  </si>
  <si>
    <t>Bed_Subsoil_Folding_08R38"_(2x1)</t>
  </si>
  <si>
    <t>Bed_Subsoil_Folding_12R38"</t>
  </si>
  <si>
    <t>Bed_Subsoil_Rigid_04R30"</t>
  </si>
  <si>
    <t>Bed_Subsoil_Rigid_04R38"</t>
  </si>
  <si>
    <t>Bed_Subsoil_Rigid_06R30"</t>
  </si>
  <si>
    <t>Bed_Subsoil_Rigid_06R38"</t>
  </si>
  <si>
    <t>Bed_Subsoil_Rigid_08R30"</t>
  </si>
  <si>
    <t>Bed_Subsoil_Rigid_08R38"</t>
  </si>
  <si>
    <t>Boll Buggy_04R38"_250HP</t>
  </si>
  <si>
    <t>Boll Buggy_04R38"_350HP</t>
  </si>
  <si>
    <t>Boll Buggy_04ROW(2x1)_350HP</t>
  </si>
  <si>
    <t>Boll Buggy_06R30"_355HP</t>
  </si>
  <si>
    <t>Boll Buggy_06R38"_355HP</t>
  </si>
  <si>
    <t>Box Blade_6-7'</t>
  </si>
  <si>
    <t>TRACTOR_MFWD_105HP_RB</t>
  </si>
  <si>
    <t>Chisel Plow_Folding_24'</t>
  </si>
  <si>
    <t>Chisel Plow_Folding_32'</t>
  </si>
  <si>
    <t>Chisel Plow_Folding_42'</t>
  </si>
  <si>
    <t>Chisel Plow_Folding_50'</t>
  </si>
  <si>
    <t>Chisel Plow_Folding_61'</t>
  </si>
  <si>
    <t>Chisel Plow_Rigid_10'</t>
  </si>
  <si>
    <t>Chisel Plow_Rigid_15'</t>
  </si>
  <si>
    <t>TRACTOR_2WD_130HP_CB</t>
  </si>
  <si>
    <t>Chisel Plow_Rigid_20'</t>
  </si>
  <si>
    <t>Cultivator&amp;Post_04R30"</t>
  </si>
  <si>
    <t>TRACTOR_2WD_105HP_CB</t>
  </si>
  <si>
    <t>Cultivator&amp;Post_04R38"</t>
  </si>
  <si>
    <t>Cultivator&amp;Post_06R30"</t>
  </si>
  <si>
    <t>Cultivator&amp;Post_06R38"</t>
  </si>
  <si>
    <t>Cultivator&amp;Post_08R30"</t>
  </si>
  <si>
    <t>Cultivator&amp;Post_08R38"</t>
  </si>
  <si>
    <t>Cultivator&amp;Post_08R38"_(2x1)</t>
  </si>
  <si>
    <t>Cultivator&amp;Post_12R30"</t>
  </si>
  <si>
    <t>Cultivator&amp;Post_12R38"</t>
  </si>
  <si>
    <t>Cultivator&amp;Post_16R30"</t>
  </si>
  <si>
    <t>Cultivator_04R30"</t>
  </si>
  <si>
    <t>Cultivator_04R38"</t>
  </si>
  <si>
    <t>Cultivator_06R30"</t>
  </si>
  <si>
    <t>Cultivator_06R38"</t>
  </si>
  <si>
    <t>Cultivator_08R30"</t>
  </si>
  <si>
    <t>Cultivator_08R38"</t>
  </si>
  <si>
    <t>Cultivator_08R38"_(2x1)</t>
  </si>
  <si>
    <t>Cultivator_12R30"</t>
  </si>
  <si>
    <t>Cultivator_12R38"</t>
  </si>
  <si>
    <t>Cultivator_16R30"</t>
  </si>
  <si>
    <t>Disk&amp;Incorporate_14'</t>
  </si>
  <si>
    <t>Disk&amp;Incorporate_20'</t>
  </si>
  <si>
    <t>Disk&amp;Incorporate_24'</t>
  </si>
  <si>
    <t>Disk&amp;Incorporate_28'</t>
  </si>
  <si>
    <t>Disk&amp;Incorporate_32'</t>
  </si>
  <si>
    <t>Disk_Harrow_14'</t>
  </si>
  <si>
    <t>Disk_Harrow_20'</t>
  </si>
  <si>
    <t>Disk_Harrow_24'</t>
  </si>
  <si>
    <t>Disk_Harrow_28'</t>
  </si>
  <si>
    <t>Disk_Harrow_32'</t>
  </si>
  <si>
    <t>Disk_Harrow_42'</t>
  </si>
  <si>
    <t>Disk_Heavy_14'</t>
  </si>
  <si>
    <t>Disk_Heavy_20'</t>
  </si>
  <si>
    <t>Disk_Heavy_28'</t>
  </si>
  <si>
    <t>Disk_Ripper_15'</t>
  </si>
  <si>
    <t>Ditcher</t>
  </si>
  <si>
    <t>---</t>
  </si>
  <si>
    <t>Ditcher_(1m/160a)</t>
  </si>
  <si>
    <t>Fertilizer_Applicator_(Liquid)_04R38"</t>
  </si>
  <si>
    <t>Fertilizer_Applicator_(Liquid)_06R30"</t>
  </si>
  <si>
    <t>Fertilizer_Applicator_(Liquid)_06R38"</t>
  </si>
  <si>
    <t>Fertilizer_Applicator_(Liquid)_08R30"</t>
  </si>
  <si>
    <t>Fertilizer_Applicator_(Liquid)_08R38"</t>
  </si>
  <si>
    <t>Fertilizer_Applicator_(Liquid)_08R38"_(2x1)</t>
  </si>
  <si>
    <t>Fertilizer_Applicator_(Liquid)_12R30"</t>
  </si>
  <si>
    <t>Fertilizer_Applicator_(Liquid)_12R38"</t>
  </si>
  <si>
    <t>Field_Cultivator&amp;Inc_42'</t>
  </si>
  <si>
    <t>Field_Cultivator&amp;Inc_50'</t>
  </si>
  <si>
    <t>Field_Cultivator&amp;Inc_Folding_24'</t>
  </si>
  <si>
    <t>Field_Cultivator&amp;Inc_Folding_32'</t>
  </si>
  <si>
    <t>Field_Cultivator&amp;Inc_Rigid_12'</t>
  </si>
  <si>
    <t>TRACTOR_2WD_150HP_CB</t>
  </si>
  <si>
    <t>Field_Cultivator_Folding_24'</t>
  </si>
  <si>
    <t>Field_Cultivator_Folding_32'</t>
  </si>
  <si>
    <t>Field_Cultivator_Folding_42'</t>
  </si>
  <si>
    <t>Field_Cultivator_Folding_50'</t>
  </si>
  <si>
    <t>Field_Cultivator_Rigid_12'</t>
  </si>
  <si>
    <t>Grain_Cart_(Corn)_0500BU</t>
  </si>
  <si>
    <t>Grain_Cart_(Corn)_0700BU</t>
  </si>
  <si>
    <t>Grain_Cart_(Corn)_1000BU</t>
  </si>
  <si>
    <t>Grain_Cart_(Rice)_0500BU</t>
  </si>
  <si>
    <t>Grain_Cart_(Rice)_0700BU</t>
  </si>
  <si>
    <t>Grain_Cart_(Rice)_1000BU</t>
  </si>
  <si>
    <t>Grain_Cart_(Soybean)_0500BU</t>
  </si>
  <si>
    <t>Grain_Cart_(Soybean)_0700BU</t>
  </si>
  <si>
    <t>Grain_Cart_(Soybean)_1000BU</t>
  </si>
  <si>
    <t>Grain_Cart_(Wheat/Sor)_0500BU</t>
  </si>
  <si>
    <t>Grain_Cart_(Wheat/Sor)_0700BU</t>
  </si>
  <si>
    <t>Grain_Cart_(Wheat/Sor)_1000BU</t>
  </si>
  <si>
    <t>Grain_Drill&amp;Pre_08R38"</t>
  </si>
  <si>
    <t>Grain_Drill&amp;Pre_10'</t>
  </si>
  <si>
    <t>Grain_Drill&amp;Pre_12'</t>
  </si>
  <si>
    <t>Grain_Drill&amp;Pre_15'</t>
  </si>
  <si>
    <t>Grain_Drill&amp;Pre_20'</t>
  </si>
  <si>
    <t>Grain_Drill&amp;Pre_24'</t>
  </si>
  <si>
    <t>Grain_Drill&amp;Pre_30'</t>
  </si>
  <si>
    <t>Grain_Drill&amp;Pre_35'</t>
  </si>
  <si>
    <t>Grain_Drill_10'</t>
  </si>
  <si>
    <t>Grain_Drill_12'</t>
  </si>
  <si>
    <t>Grain_Drill_15'</t>
  </si>
  <si>
    <t>Grain_Drill_20'</t>
  </si>
  <si>
    <t>Grain_Drill_24'</t>
  </si>
  <si>
    <t>Grain_Drill_30'</t>
  </si>
  <si>
    <t>Grain_Drill_35'</t>
  </si>
  <si>
    <t>Harrow_Folding_24'</t>
  </si>
  <si>
    <t>Harrow_Folding_30'</t>
  </si>
  <si>
    <t>Harrow_Folding_40'</t>
  </si>
  <si>
    <t>Harrow_Folding_48'</t>
  </si>
  <si>
    <t>Header_Corn_06R30"</t>
  </si>
  <si>
    <t>COMBINE_265HP</t>
  </si>
  <si>
    <t>Header_Corn_06R38"</t>
  </si>
  <si>
    <t>Header_Corn_08R30"</t>
  </si>
  <si>
    <t>Header_Corn_08R38"</t>
  </si>
  <si>
    <t>COMBINE_325HP</t>
  </si>
  <si>
    <t>Header_Corn_12R20"</t>
  </si>
  <si>
    <t>Header_Corn_12R30"</t>
  </si>
  <si>
    <t>Header_Draper_CL_25'</t>
  </si>
  <si>
    <t>Header_Draper_CL_30'</t>
  </si>
  <si>
    <t>Header_Draper_CL_36'</t>
  </si>
  <si>
    <t>COMBINE_355HP</t>
  </si>
  <si>
    <t>Header_Draper_CL_40'</t>
  </si>
  <si>
    <t>COMBINE_425HP</t>
  </si>
  <si>
    <t>Header_Draper_SL_25'</t>
  </si>
  <si>
    <t>Header_Draper_SL_30'</t>
  </si>
  <si>
    <t>Header_Draper_SL_Rigid_36'</t>
  </si>
  <si>
    <t>COMBINE_355Hp</t>
  </si>
  <si>
    <t>Header_Draper_SL_Rigid_40'</t>
  </si>
  <si>
    <t>Header_RiceStrp_CL_20'</t>
  </si>
  <si>
    <t>Header_RiceStrp_CL_24'</t>
  </si>
  <si>
    <t>Header_RiceStrp_CL_32'</t>
  </si>
  <si>
    <t>Header_RiceStrp_SL_20'</t>
  </si>
  <si>
    <t>Header_RiceStrp_SL_24'</t>
  </si>
  <si>
    <t>Header_RiceStrp_SL_32'</t>
  </si>
  <si>
    <t>Header_Soybean_Flex_22'</t>
  </si>
  <si>
    <t>Header_Soybean_Flex_25'</t>
  </si>
  <si>
    <t>Header_Soybean_Flex_30'</t>
  </si>
  <si>
    <t>Header_Soybean_Flex_35'</t>
  </si>
  <si>
    <t>Header_WheatSorghum_Rigid_22'</t>
  </si>
  <si>
    <t>Header_WheatSorghum_Rigid_25'</t>
  </si>
  <si>
    <t>Header_WheatSorghum_Rigid_30'</t>
  </si>
  <si>
    <t>Land_Plane_50'x16'</t>
  </si>
  <si>
    <t>Levee_Pull&amp;Seed_08BLADE</t>
  </si>
  <si>
    <t>Levee_Pull_(1m/80acres)_08BLADE</t>
  </si>
  <si>
    <t>Levee_Splitter_(1m/80acres)_32"</t>
  </si>
  <si>
    <t>Module_Builder_04R38"_250HP</t>
  </si>
  <si>
    <t>Module_Builder_04R38"_350HP</t>
  </si>
  <si>
    <t>Module_Builder_04ROW(2x1)_350HP</t>
  </si>
  <si>
    <t>Module_Builder_06R30"_355HP</t>
  </si>
  <si>
    <t>Module_Builder_06R38"_355HP</t>
  </si>
  <si>
    <t>Module_Handler</t>
  </si>
  <si>
    <t>NT_Grain_Drill&amp;Pre_10'</t>
  </si>
  <si>
    <t>NT_Grain_Drill&amp;Pre_12'</t>
  </si>
  <si>
    <t>NT_Grain_Drill&amp;Pre_15'</t>
  </si>
  <si>
    <t>NT_Grain_Drill&amp;Pre_20'</t>
  </si>
  <si>
    <t>NT_Grain_Drill&amp;Pre_24'</t>
  </si>
  <si>
    <t>NT_Grain_Drill&amp;Pre_30'</t>
  </si>
  <si>
    <t>NT_Grain_Drill_10'</t>
  </si>
  <si>
    <t>NT_Grain_Drill_12'</t>
  </si>
  <si>
    <t>NT_Grain_Drill_15'</t>
  </si>
  <si>
    <t>NT_Grain_Drill_20'</t>
  </si>
  <si>
    <t>NT_Grain_Drill_24'</t>
  </si>
  <si>
    <t>NT_Grain_Drill_30'</t>
  </si>
  <si>
    <t>NT_Plant&amp;Pre_Folding_08R38"</t>
  </si>
  <si>
    <t>NT_Plant&amp;Pre_Folding_08R38"_(2x1)</t>
  </si>
  <si>
    <t>NT_Plant&amp;Pre_Folding_12R20"</t>
  </si>
  <si>
    <t>NT_Plant&amp;Pre_Folding_12R30"</t>
  </si>
  <si>
    <t>NT_Plant&amp;Pre_Folding_12R38"</t>
  </si>
  <si>
    <t>NT_Plant&amp;Pre_Folding_16R30"</t>
  </si>
  <si>
    <t>NT_Plant&amp;Pre_Folding_23R15"</t>
  </si>
  <si>
    <t>NT_Plant&amp;Pre_Folding_24R20"</t>
  </si>
  <si>
    <t>NT_Plant&amp;Pre_Folding_24R30"</t>
  </si>
  <si>
    <t>NT_Plant&amp;Pre_Folding_31R15"</t>
  </si>
  <si>
    <t>NT_Plant&amp;Pre_Folding_32R15"</t>
  </si>
  <si>
    <t>NT_Plant&amp;Pre_Rigid_04R30"</t>
  </si>
  <si>
    <t>NT_Plant&amp;Pre_Rigid_04R38"</t>
  </si>
  <si>
    <t>NT_Plant&amp;Pre_Rigid_06R30"</t>
  </si>
  <si>
    <t>NT_Plant&amp;Pre_Rigid_06R38"</t>
  </si>
  <si>
    <t>NT_Plant&amp;Pre_Rigid_08R30"</t>
  </si>
  <si>
    <t>NT_Plant&amp;Pre_Rigid_08R38"</t>
  </si>
  <si>
    <t>NT_Plant&amp;Pre_Rigid_11R15"</t>
  </si>
  <si>
    <t>NT_Plant&amp;Pre_Rigid_11R20"</t>
  </si>
  <si>
    <t>NT_Plant&amp;Pre_Rigid_12R20"</t>
  </si>
  <si>
    <t>NT_Plant&amp;Pre_Rigid_12R30"</t>
  </si>
  <si>
    <t>NT_Plant&amp;Pre_Rigid_15R15"</t>
  </si>
  <si>
    <t>NT_Plant&amp;Pre_TwinRow_08R30-40"</t>
  </si>
  <si>
    <t>NT_Plant&amp;Pre_TwinRow_12R30-40"</t>
  </si>
  <si>
    <t>NT_Plant_Folding_08R38"</t>
  </si>
  <si>
    <t>NT_Plant_Folding_08R38"_(2x1)</t>
  </si>
  <si>
    <t>NT_Plant_Folding_12R20"</t>
  </si>
  <si>
    <t>NT_Plant_Folding_12R30"</t>
  </si>
  <si>
    <t>NT_Plant_Folding_12R38"</t>
  </si>
  <si>
    <t>NT_Plant_Folding_16R30"</t>
  </si>
  <si>
    <t>NT_Plant_Folding_23R15"</t>
  </si>
  <si>
    <t>NT_Plant_Folding_24R20"</t>
  </si>
  <si>
    <t>NT_Plant_Folding_24R30"</t>
  </si>
  <si>
    <t>NT_Plant_Folding_31R15"</t>
  </si>
  <si>
    <t>NT_Plant_Folding_32R15"</t>
  </si>
  <si>
    <t>NT_Plant_Rigid_04R30"</t>
  </si>
  <si>
    <t>NT_Plant_Rigid_04R38"</t>
  </si>
  <si>
    <t>NT_Plant_Rigid_06R30"</t>
  </si>
  <si>
    <t>NT_Plant_Rigid_06R38"</t>
  </si>
  <si>
    <t>NT_Plant_Rigid_08R30"</t>
  </si>
  <si>
    <t>NT_Plant_Rigid_08R38"</t>
  </si>
  <si>
    <t>NT_Plant_Rigid_11R15"</t>
  </si>
  <si>
    <t>NT_Plant_Rigid_11R20"</t>
  </si>
  <si>
    <t>NT_Plant_Rigid_12R20"</t>
  </si>
  <si>
    <t>NT_Plant_Rigid_12R30"</t>
  </si>
  <si>
    <t>NT_Plant_Rigid_15R15"</t>
  </si>
  <si>
    <t>NT_Plant_TwinRow_08R30-40"</t>
  </si>
  <si>
    <t>NT_Plant_TwinRow_12R30-40"</t>
  </si>
  <si>
    <t>Peanut_Cond&amp;Lifter_06ROW</t>
  </si>
  <si>
    <t>Peanut_Conditioner_06ROW</t>
  </si>
  <si>
    <t>Peanut_Digger_Invertor_04R30"</t>
  </si>
  <si>
    <t>Peanut_Digger_Invertor_04R38"</t>
  </si>
  <si>
    <t>Peanut_Digger_Invertor_06R38"</t>
  </si>
  <si>
    <t>Peanut_Dump_Cart_06ROW</t>
  </si>
  <si>
    <t>Peanut_Harvester_04R30"</t>
  </si>
  <si>
    <t>Peanut_Harvester_04R38"</t>
  </si>
  <si>
    <t>Peanut_Harvester_06R38"</t>
  </si>
  <si>
    <t>Peanut_Lifter_06ROW</t>
  </si>
  <si>
    <t>Peanut_Planter&amp;Pre_Folding_12R38"</t>
  </si>
  <si>
    <t>Peanut_Planter&amp;Pre_Rigid_08R30"</t>
  </si>
  <si>
    <t>Peanut_Planter&amp;Pre_Rigid_08R38"</t>
  </si>
  <si>
    <t>Peanut_Planter&amp;Pre_Twin_08R30-40"</t>
  </si>
  <si>
    <t>Pipe_Spool_(160acres)_1/4_ROLL</t>
  </si>
  <si>
    <t>Pipe_Trailer_(1m/160acres)_30'</t>
  </si>
  <si>
    <t>Planter&amp;Pre_Folding_08R38"</t>
  </si>
  <si>
    <t>Planter&amp;Pre_Folding_08R38"_(2x1)</t>
  </si>
  <si>
    <t>Planter&amp;Pre_Folding_12R20"</t>
  </si>
  <si>
    <t>Planter&amp;Pre_Folding_12R30"</t>
  </si>
  <si>
    <t>Planter&amp;Pre_Folding_12R38"</t>
  </si>
  <si>
    <t>Planter&amp;Pre_Folding_16R30"</t>
  </si>
  <si>
    <t>Planter&amp;Pre_Folding_23R15"</t>
  </si>
  <si>
    <t>Planter&amp;Pre_Folding_24R20"</t>
  </si>
  <si>
    <t>Planter&amp;Pre_Folding_24R30"</t>
  </si>
  <si>
    <t>Planter&amp;Pre_Folding_31R15"</t>
  </si>
  <si>
    <t>Planter&amp;Pre_Folding_32R15"</t>
  </si>
  <si>
    <t>Planter&amp;Pre_Rigid_04R30"</t>
  </si>
  <si>
    <t>Planter&amp;Pre_Rigid_04R38"</t>
  </si>
  <si>
    <t>Planter&amp;Pre_Rigid_06R30"</t>
  </si>
  <si>
    <t>Planter&amp;Pre_Rigid_06R38"</t>
  </si>
  <si>
    <t>Planter&amp;Pre_Rigid_08R30"</t>
  </si>
  <si>
    <t>Planter&amp;Pre_Rigid_08R38"</t>
  </si>
  <si>
    <t>Planter&amp;Pre_Rigid_11R15"</t>
  </si>
  <si>
    <t>Planter&amp;Pre_Rigid_11R20"</t>
  </si>
  <si>
    <t>Planter&amp;Pre_Rigid_12R20"</t>
  </si>
  <si>
    <t>Planter&amp;Pre_Rigid_12R30"</t>
  </si>
  <si>
    <t>Planter&amp;Pre_Rigid_15R15"</t>
  </si>
  <si>
    <t>Planter&amp;Pre_TwinRow_08R30-40"</t>
  </si>
  <si>
    <t>Planter&amp;Pre_TwinRow_12R30-40"</t>
  </si>
  <si>
    <t>Planter_Folding_08R38"</t>
  </si>
  <si>
    <t>Planter_Folding_08R38"_(2x1)</t>
  </si>
  <si>
    <t>Planter_Folding_12R20"</t>
  </si>
  <si>
    <t>Planter_Folding_12R30"</t>
  </si>
  <si>
    <t>Planter_Folding_12R38"</t>
  </si>
  <si>
    <t>Planter_Folding_16R30"</t>
  </si>
  <si>
    <t>Planter_Folding_23R15"</t>
  </si>
  <si>
    <t>Planter_Folding_24R20"</t>
  </si>
  <si>
    <t>Planter_Folding_24R30"</t>
  </si>
  <si>
    <t>Planter_Folding_31R15"</t>
  </si>
  <si>
    <t>Planter_Folding_32R15"</t>
  </si>
  <si>
    <t>Planter_Rigid_04R30"</t>
  </si>
  <si>
    <t>Planter_Rigid_04R38"</t>
  </si>
  <si>
    <t>Planter_Rigid_06R30"</t>
  </si>
  <si>
    <t>Planter_Rigid_06R38"</t>
  </si>
  <si>
    <t>Planter_Rigid_08R30"</t>
  </si>
  <si>
    <t>Planter_Rigid_08R38"</t>
  </si>
  <si>
    <t>Planter_Rigid_11R15"</t>
  </si>
  <si>
    <t>Planter_Rigid_11R20"</t>
  </si>
  <si>
    <t>Planter_Rigid_12R20"</t>
  </si>
  <si>
    <t>Planter_Rigid_12R30"</t>
  </si>
  <si>
    <t>Planter_Rigid_15R15"</t>
  </si>
  <si>
    <t>Planter_TwinRow_08R30-40"</t>
  </si>
  <si>
    <t>Planter_TwinRow_12R30-40"</t>
  </si>
  <si>
    <t>Roller_Cultipacker_12'</t>
  </si>
  <si>
    <t>Roller_Cultipacker_20'</t>
  </si>
  <si>
    <t>Roller_Cultipacker_30'</t>
  </si>
  <si>
    <t>Roller_Cultipacker_38'</t>
  </si>
  <si>
    <t>Roller_Stubble_20'</t>
  </si>
  <si>
    <t>Roller_Stubble_32'</t>
  </si>
  <si>
    <t>Rotary_Cutter_07'</t>
  </si>
  <si>
    <t>Rotary_Cutter_12'</t>
  </si>
  <si>
    <t>Rotary_Cutter_Flex_15'</t>
  </si>
  <si>
    <t>Rotary_Cutter_Flex_20'</t>
  </si>
  <si>
    <t>Row_Cond&amp;Inc_Folding_26'</t>
  </si>
  <si>
    <t>Row_Cond&amp;Inc_Folding_38'</t>
  </si>
  <si>
    <t>Row_Cond&amp;Inc_Rigid_13'</t>
  </si>
  <si>
    <t>Row_Cond&amp;Inc_Rigid_21'</t>
  </si>
  <si>
    <t>TRACTOR_2WD_170HP_CB</t>
  </si>
  <si>
    <t>Row_Cond&amp;Inc_Rigid_26'</t>
  </si>
  <si>
    <t>Row_Cond_Folding_26'</t>
  </si>
  <si>
    <t>Row_Cond_Folding_38'</t>
  </si>
  <si>
    <t>Row_Cond_Rigid_13'</t>
  </si>
  <si>
    <t>Row_Cond_Rigid_21'</t>
  </si>
  <si>
    <t>Row_Cond_Rigid_26'</t>
  </si>
  <si>
    <t>Row_Cond_Roller_Folding_26'</t>
  </si>
  <si>
    <t>Row_Cond_Roller_Folding_30'</t>
  </si>
  <si>
    <t>Row_Cond_Roller_Folding_40'</t>
  </si>
  <si>
    <t>Row_Cond_Roller_Rigid_21'</t>
  </si>
  <si>
    <t>Row_Cond_Roller_Rigid_26'</t>
  </si>
  <si>
    <t>Spin_Spreader_5TON</t>
  </si>
  <si>
    <t>Sprayer_ATV_(Ropewick)_75"</t>
  </si>
  <si>
    <t>UTV_800CC</t>
  </si>
  <si>
    <t>Sprayer_ATV_20'</t>
  </si>
  <si>
    <t>Sprayer_Banded_Folding_27'</t>
  </si>
  <si>
    <t>Sprayer_Banded_Folding_40'</t>
  </si>
  <si>
    <t>Sprayer_Banded_Folding_50'</t>
  </si>
  <si>
    <t>Sprayer_Banded_Folding_60'</t>
  </si>
  <si>
    <t>Sprayer_Broadcast/HB_Folding_27'</t>
  </si>
  <si>
    <t>Sprayer_Broadcast/HB_Folding_30'</t>
  </si>
  <si>
    <t>Sprayer_Broadcast/HB_Folding_40'</t>
  </si>
  <si>
    <t>Sprayer_Broadcast/HB_Rigid_13'</t>
  </si>
  <si>
    <t>Sprayer_Broadcast/HB_Rigid_20'</t>
  </si>
  <si>
    <t>Sprayer_Broadcast/HB_Rigid_27'</t>
  </si>
  <si>
    <t>Sprayer_Broadcast_27'</t>
  </si>
  <si>
    <t>Sprayer_Broadcast_40'</t>
  </si>
  <si>
    <t>Sprayer_Broadcast_50'</t>
  </si>
  <si>
    <t>Sprayer_Broadcast_60'</t>
  </si>
  <si>
    <t>Sprayer_Direct/Hood_08R30"</t>
  </si>
  <si>
    <t>Sprayer_Direct/Hood_08R38"</t>
  </si>
  <si>
    <t>Sprayer_Direct/Hood_12R30"</t>
  </si>
  <si>
    <t>Sprayer_Direct/Hood_12R38"</t>
  </si>
  <si>
    <t>Sprayer_Direct/Layby_08R30"</t>
  </si>
  <si>
    <t>Sprayer_Direct/Layby_08R38"</t>
  </si>
  <si>
    <t>Sprayer_Direct/Layby_08R38"_(2x1)</t>
  </si>
  <si>
    <t>Sprayer_Direct/Layby_12R30"</t>
  </si>
  <si>
    <t>Sprayer_Direct/Layby_12R38"</t>
  </si>
  <si>
    <t>Sprayer_Direct/Layby_16R20-30"</t>
  </si>
  <si>
    <t>Sprayer_Levee_Leaper_50'</t>
  </si>
  <si>
    <t>Sprayer_Pull_Type_060'</t>
  </si>
  <si>
    <t>Sprayer_Pull_Type_080'</t>
  </si>
  <si>
    <t>Sprayer_Pull_Type_090'</t>
  </si>
  <si>
    <t>Sprayer_Pull_Type_120'</t>
  </si>
  <si>
    <t>Sprayer_Ropewick_20'</t>
  </si>
  <si>
    <t>Sprayer_Spot_27'</t>
  </si>
  <si>
    <t>Sprayer_Spot_40'</t>
  </si>
  <si>
    <t>Sprayer_Spot_50'</t>
  </si>
  <si>
    <t>Sprayer_Spot_60'</t>
  </si>
  <si>
    <t>Stalk_Shredder_14'</t>
  </si>
  <si>
    <t>Stalk_Shredder_Flail_12'</t>
  </si>
  <si>
    <t>Stalk_Shredder_Flail_15'</t>
  </si>
  <si>
    <t>Stalk_Shredder_Flail_18'</t>
  </si>
  <si>
    <t>Stalk_Shredder_Flail_20'</t>
  </si>
  <si>
    <t>Stalk_Shredder_Flail_25'</t>
  </si>
  <si>
    <t>Stalk_Shredder_Flex_20'</t>
  </si>
  <si>
    <t>Strip_Till_08R38"</t>
  </si>
  <si>
    <t>Strip_Till_12R30"</t>
  </si>
  <si>
    <t>Strip_Till_12R40"</t>
  </si>
  <si>
    <t>Subsoiler_03SHANK</t>
  </si>
  <si>
    <t>Subsoiler_04SHANK</t>
  </si>
  <si>
    <t>Subsoiler_05SHANK</t>
  </si>
  <si>
    <t>Subsoiler_LowTill_06SHANK</t>
  </si>
  <si>
    <t>Subsoiler_LowTill_08SHANK</t>
  </si>
  <si>
    <t>USEFUL 
LIFE (YEARS)</t>
  </si>
  <si>
    <t>FUEL 
USE (GAL/HR)</t>
  </si>
  <si>
    <t>LABOR 
($/HR)</t>
  </si>
  <si>
    <t>FUEL 
($/HR)</t>
  </si>
  <si>
    <t>R&amp;M 
($/HR)</t>
  </si>
  <si>
    <t>TOTAL_DIRECT 
($/HR)</t>
  </si>
  <si>
    <t>FIXED 
($/HR)</t>
  </si>
  <si>
    <t>TOTAL_COST
($/HR)</t>
  </si>
  <si>
    <t>COMBINE_475HP</t>
  </si>
  <si>
    <t>TRACTOR_MFWD_030HP_CB</t>
  </si>
  <si>
    <t>TRACTOR_MFWD_030HP_RB</t>
  </si>
  <si>
    <t>TRACTOR_2WD_050HP_CB</t>
  </si>
  <si>
    <t>TRACTOR_MFWD_050HP_CB</t>
  </si>
  <si>
    <t>TRACTOR_2WD_050HP_RB</t>
  </si>
  <si>
    <t>TRACTOR_MFWD_050HP_RB</t>
  </si>
  <si>
    <t>TRACTOR_2WD_075HP_CB</t>
  </si>
  <si>
    <t>TRACTOR_MFWD_075HP_CB</t>
  </si>
  <si>
    <t>TRACTOR_2WD_075HP_RB</t>
  </si>
  <si>
    <t>TRACTOR_MFWD_075HP_RB</t>
  </si>
  <si>
    <t>TRACTOR_MFWD_105HP_CB</t>
  </si>
  <si>
    <t>TRACTOR_2WD_105HP_RB</t>
  </si>
  <si>
    <t>TRACTOR_MFWD_130HP_CB</t>
  </si>
  <si>
    <t>TRACTOR_4WD_300HP_CB</t>
  </si>
  <si>
    <t>TRACTOR_TRACK_300HP_CB</t>
  </si>
  <si>
    <t>TRACTOR_4WD_400HP_CB</t>
  </si>
  <si>
    <t>TRACTOR_TRACK_400HP_CB</t>
  </si>
  <si>
    <t>TRACTOR_4WD_500HP_CB</t>
  </si>
  <si>
    <t>TRACTOR_TRACK_500HP_CB</t>
  </si>
  <si>
    <t>UTV_900CC</t>
  </si>
  <si>
    <t>**To calculate horsepower from CC: Divide the CC by 15**</t>
  </si>
  <si>
    <t>Reference CC to HP</t>
  </si>
  <si>
    <t>Economic Life</t>
  </si>
  <si>
    <t>Int. Rate</t>
  </si>
  <si>
    <t>Width (ft)</t>
  </si>
  <si>
    <t>Annual Use</t>
  </si>
  <si>
    <t>Remaining Value</t>
  </si>
  <si>
    <t>Repair Costs</t>
  </si>
  <si>
    <t>Capital Recovery Factor</t>
  </si>
  <si>
    <t>Fuel</t>
  </si>
  <si>
    <t>Diesel</t>
  </si>
  <si>
    <t>Gasoline</t>
  </si>
  <si>
    <t>REFERENCE SOURCES</t>
  </si>
  <si>
    <t>Table 1. Salvage Values</t>
  </si>
  <si>
    <t>Link</t>
  </si>
  <si>
    <t>Estimating Farm Machinery Costs. Ag Decision Maker: File A3-29. Page 2</t>
  </si>
  <si>
    <t>Table 2. Capital Recovery</t>
  </si>
  <si>
    <t>Estimating Farm Machinery Costs. Ag Decision Maker: File A3-29. Page 3</t>
  </si>
  <si>
    <t>Table 3. Repair Costs</t>
  </si>
  <si>
    <t>Estimating Farm Machinery Costs. Ag Decision Maker: File A3-29. Page 8</t>
  </si>
  <si>
    <t>Table 4. Field Capacity</t>
  </si>
  <si>
    <t>Estimating the Field Capacity of Farm Machines. Ag Decision Maker: File A3-24.</t>
  </si>
  <si>
    <t>US Inflation Rates</t>
  </si>
  <si>
    <t>Current US Inflation Rates</t>
  </si>
  <si>
    <t>ASABE: Chapter 15</t>
  </si>
  <si>
    <t>ASABE Chapter 15: Machinery Selection and Management (Effective Field Capacity)</t>
  </si>
  <si>
    <t>MSU Planning Budgets</t>
  </si>
  <si>
    <t>Mississippi State University Cotton 2026 Planning Budgets</t>
  </si>
  <si>
    <t>FORMULA CALCULATIONS</t>
  </si>
  <si>
    <t>REMAING VALUE ($US)</t>
  </si>
  <si>
    <r>
      <t>Salvage Value Factor</t>
    </r>
    <r>
      <rPr>
        <b/>
        <vertAlign val="superscript"/>
        <sz val="11"/>
        <color rgb="FF0000FF"/>
        <rFont val="Aptos Narrow"/>
        <family val="2"/>
      </rPr>
      <t>†</t>
    </r>
    <r>
      <rPr>
        <b/>
        <i/>
        <sz val="11"/>
        <color rgb="FF0000FF"/>
        <rFont val="Aptos Narrow"/>
        <family val="2"/>
        <scheme val="minor"/>
      </rPr>
      <t xml:space="preserve"> x Listed Price MSRP</t>
    </r>
  </si>
  <si>
    <t>TOTAL DEPRECIATION ($US)</t>
  </si>
  <si>
    <t>Purchase Price - Remaining Value</t>
  </si>
  <si>
    <t>CAPITAL RECOVERY ($US)</t>
  </si>
  <si>
    <r>
      <t>(Total Depreciation x Capital Recovery Factor</t>
    </r>
    <r>
      <rPr>
        <b/>
        <vertAlign val="superscript"/>
        <sz val="11"/>
        <color rgb="FF0000FF"/>
        <rFont val="Aptos Narrow"/>
        <family val="2"/>
      </rPr>
      <t>††</t>
    </r>
    <r>
      <rPr>
        <b/>
        <i/>
        <sz val="11"/>
        <color rgb="FF0000FF"/>
        <rFont val="Aptos Narrow"/>
        <family val="2"/>
        <scheme val="minor"/>
      </rPr>
      <t>) + (Interest Rate</t>
    </r>
    <r>
      <rPr>
        <b/>
        <vertAlign val="superscript"/>
        <sz val="11"/>
        <color rgb="FF0000FF"/>
        <rFont val="Aptos Narrow"/>
        <family val="2"/>
      </rPr>
      <t>†††</t>
    </r>
    <r>
      <rPr>
        <b/>
        <i/>
        <sz val="11"/>
        <color rgb="FF0000FF"/>
        <rFont val="Aptos Narrow"/>
        <family val="2"/>
        <scheme val="minor"/>
      </rPr>
      <t xml:space="preserve"> x Remaining Value)</t>
    </r>
  </si>
  <si>
    <r>
      <rPr>
        <vertAlign val="superscript"/>
        <sz val="9"/>
        <rFont val="Aptos Narrow"/>
        <family val="2"/>
        <scheme val="minor"/>
      </rPr>
      <t>†††</t>
    </r>
    <r>
      <rPr>
        <i/>
        <sz val="9"/>
        <rFont val="Aptos Narrow"/>
        <family val="2"/>
        <scheme val="minor"/>
      </rPr>
      <t>Cost of Financing % - US Inflation Rate%</t>
    </r>
  </si>
  <si>
    <t>TAXES / INSURANCE / HOUSING ($US)</t>
  </si>
  <si>
    <t>0.01 x [(Purchase Price + Remaining Value)/2]</t>
  </si>
  <si>
    <t>TOTAL YEARLY OWNERSHIP COSTS ($US)</t>
  </si>
  <si>
    <t>Capital Recovery + Taxes/Insurance/Housing</t>
  </si>
  <si>
    <t>TOTAL HOURLY OWNERSHIP COSTS ($US)</t>
  </si>
  <si>
    <t>Total Yearly Ownership Costs / Annual Use Hours</t>
  </si>
  <si>
    <t>TOTAL REPAIRS ($US)</t>
  </si>
  <si>
    <r>
      <t>(End of Life Repair Factor</t>
    </r>
    <r>
      <rPr>
        <b/>
        <vertAlign val="superscript"/>
        <sz val="11"/>
        <color rgb="FF0000FF"/>
        <rFont val="Aptos Narrow"/>
        <family val="2"/>
      </rPr>
      <t>††††</t>
    </r>
    <r>
      <rPr>
        <b/>
        <sz val="11"/>
        <color rgb="FF0000FF"/>
        <rFont val="Aptos Narrow"/>
        <family val="2"/>
        <scheme val="minor"/>
      </rPr>
      <t xml:space="preserve"> </t>
    </r>
    <r>
      <rPr>
        <b/>
        <i/>
        <sz val="11"/>
        <color rgb="FF0000FF"/>
        <rFont val="Aptos Narrow"/>
        <family val="2"/>
        <scheme val="minor"/>
      </rPr>
      <t>- Current Repair Factor) x Listed Price MSRP</t>
    </r>
  </si>
  <si>
    <t>HOURLY REPAIR COSTS ($US)</t>
  </si>
  <si>
    <t>Total Repairs / (Total End of Life Hours - Accumulated Hours)</t>
  </si>
  <si>
    <t>HOURLY FUEL COSTS ($US)</t>
  </si>
  <si>
    <t>Diesel Fuel Engines*:</t>
  </si>
  <si>
    <t>0.044 x Engine or PTO Horsepower x Fuel Price</t>
  </si>
  <si>
    <t>Gasoline Engines*:</t>
  </si>
  <si>
    <t>0.06 x Engine or PTO Horsepower x Fuel Price</t>
  </si>
  <si>
    <t>*The 0.044 factor for diesel engines and the 0.06 factor for gasoline engines are from the ASABE calculations</t>
  </si>
  <si>
    <t>HOURLY LUBRICATION COSTS ($US)</t>
  </si>
  <si>
    <t>0.15 x Hourly Fuel Costs</t>
  </si>
  <si>
    <t>HOURLY LABOR COSTS ($US)</t>
  </si>
  <si>
    <t>1.1 x Wage Rate</t>
  </si>
  <si>
    <t>TOTAL HOURLY OPERATING COSTS ($US)</t>
  </si>
  <si>
    <t>Hourly Repair Costs + Hourly Fuel Costs + Hourly Lubrication Costs + Hourly Labor Costs</t>
  </si>
  <si>
    <t>TOTAL HOURLY COSTS ($US)</t>
  </si>
  <si>
    <t>Total Hourly Ownership Costs + Total Hourly Operating Costs</t>
  </si>
  <si>
    <t>TOTAL PER ACRE COSTS ($US)</t>
  </si>
  <si>
    <r>
      <t>Total Hourly Costs Tractor &amp; Implement / Field Capacity Acres per Hour</t>
    </r>
    <r>
      <rPr>
        <b/>
        <vertAlign val="superscript"/>
        <sz val="11"/>
        <color rgb="FF0000FF"/>
        <rFont val="Aptos Narrow"/>
        <family val="2"/>
        <scheme val="minor"/>
      </rPr>
      <t>†††††</t>
    </r>
  </si>
  <si>
    <r>
      <rPr>
        <vertAlign val="superscript"/>
        <sz val="9"/>
        <rFont val="Aptos Narrow"/>
        <family val="2"/>
        <scheme val="minor"/>
      </rPr>
      <t xml:space="preserve">††††† </t>
    </r>
    <r>
      <rPr>
        <i/>
        <sz val="9"/>
        <rFont val="Aptos Narrow"/>
        <family val="2"/>
        <scheme val="minor"/>
      </rPr>
      <t>The number of acres that the machine is capable of completing per hour of operation.</t>
    </r>
  </si>
  <si>
    <t>Effective Field Capacity = (width ft x Speed mph x Field Efficiency %) / 8.25</t>
  </si>
  <si>
    <t>DEFINITIONS</t>
  </si>
  <si>
    <t>Current amount of working hours on a machine at the beginning of its useful life (usually zero for new machinery).</t>
  </si>
  <si>
    <t>Annual Use Hours</t>
  </si>
  <si>
    <t>The average number of hours per year that a machine performs work.</t>
  </si>
  <si>
    <t>Capital Recovery</t>
  </si>
  <si>
    <t>The process of recouping the initial investment made in the machine over its useful life.</t>
  </si>
  <si>
    <t>The ratio used to determine the present value of a series of equal annual payments.</t>
  </si>
  <si>
    <t>Current Repair Factor</t>
  </si>
  <si>
    <t>Percentage factor used to determine the total repairs at the beginning of a machines useful life.</t>
  </si>
  <si>
    <t>End of Life Repair Factor</t>
  </si>
  <si>
    <t>Percentage factor used to determine the total repairs at the end of a machines useful life.</t>
  </si>
  <si>
    <t>Engine or PTO Horsepower</t>
  </si>
  <si>
    <t>The total output of the engine before any system consumption / The power available for implements (lower than engine horsepower).</t>
  </si>
  <si>
    <t>Field Capacity</t>
  </si>
  <si>
    <t>The amount of work that can be completed by a machine in acres per 1 hour.</t>
  </si>
  <si>
    <t>Fuel Price</t>
  </si>
  <si>
    <t>The price of diesel or gasoline per gallon.</t>
  </si>
  <si>
    <t>Hourly Fuel Costs</t>
  </si>
  <si>
    <t>The hourly expenses associated with fuel consumption for the machine during operation.</t>
  </si>
  <si>
    <t>Hourly Labor Costs</t>
  </si>
  <si>
    <t>The hourly expenses incurred for by an employer for each employee for wages, taxes, benefits, etc.</t>
  </si>
  <si>
    <t>Hourly Lubrication Costs</t>
  </si>
  <si>
    <t>The expenses incurred for lubrication of the machine over a 1-hour period.</t>
  </si>
  <si>
    <t>Hourly Repair Costs</t>
  </si>
  <si>
    <t>The hourly expenses incurred for maintaining and repairing machinery over its useful life.</t>
  </si>
  <si>
    <t>Interest Rate</t>
  </si>
  <si>
    <t>The percentage rate of what lenders charge borrowers in addition to the principal for financing.</t>
  </si>
  <si>
    <t>Listed Price MSRP</t>
  </si>
  <si>
    <t>Current manufacturers suggested retail price of the machine.</t>
  </si>
  <si>
    <t>Purchase Price</t>
  </si>
  <si>
    <t>The actual price paid for the machine.</t>
  </si>
  <si>
    <t>The value of the machine at the end of its useful life.</t>
  </si>
  <si>
    <t>Salvage Value Factor</t>
  </si>
  <si>
    <t>Percentage factor used to determine the remaining value of the machine.</t>
  </si>
  <si>
    <t>Taxes/Insurance/Housing</t>
  </si>
  <si>
    <t>The annual amount owed for property tax, insurance againts perils, and shelter for the machine.</t>
  </si>
  <si>
    <t>Total Depreciation</t>
  </si>
  <si>
    <t>The cumulative reduction in the value of the machine over its useful life.</t>
  </si>
  <si>
    <t>Total End of Life Hours</t>
  </si>
  <si>
    <t>Total amount of working hours on a machine at the end of its useful life.</t>
  </si>
  <si>
    <t>Total Hourly Costs</t>
  </si>
  <si>
    <t>The sum of the total hourly expenses for all ownership and operation costs.</t>
  </si>
  <si>
    <t>Total Hourly Costs (Tractor &amp; Imp.)</t>
  </si>
  <si>
    <t>The sum of the total hourly expenses for the tractor plus the implement.</t>
  </si>
  <si>
    <t>Total Hourly Operating Costs</t>
  </si>
  <si>
    <t>The total expenses paid for repair and maintenance, labor, fuel and lubrication per hour.</t>
  </si>
  <si>
    <t>Total Hourly Ownership Costs</t>
  </si>
  <si>
    <t>The total hourly assessment of all costs associated with acquiring, using, and maintaining an asset throughout its lifespan.</t>
  </si>
  <si>
    <t>Total Per Acre Costs</t>
  </si>
  <si>
    <t>The total costs incurred for machinery on 1 acre of land.</t>
  </si>
  <si>
    <t>Total Repairs</t>
  </si>
  <si>
    <t>The total cost of repairing the machine over its useful life.</t>
  </si>
  <si>
    <t>Total Yearly Ownership Costs</t>
  </si>
  <si>
    <t>The total yearly assessment of all costs associated with acquiring, using, and maintaining an asset throughout its lifespan.</t>
  </si>
  <si>
    <t>Wage Rate</t>
  </si>
  <si>
    <t>The standard amount of compensation paid to an employee per hour of work.</t>
  </si>
  <si>
    <t xml:space="preserve"> </t>
  </si>
  <si>
    <r>
      <rPr>
        <b/>
        <i/>
        <sz val="16"/>
        <color theme="4" tint="-0.249977111117893"/>
        <rFont val="Aptos Narrow"/>
        <family val="2"/>
        <scheme val="minor"/>
      </rPr>
      <t>Trent A. Morton</t>
    </r>
    <r>
      <rPr>
        <b/>
        <i/>
        <sz val="12"/>
        <color theme="4" tint="-0.249977111117893"/>
        <rFont val="Aptos Narrow"/>
        <family val="2"/>
        <scheme val="minor"/>
      </rPr>
      <t xml:space="preserve">
</t>
    </r>
    <r>
      <rPr>
        <b/>
        <i/>
        <sz val="11"/>
        <color theme="4" tint="-0.249977111117893"/>
        <rFont val="Aptos Narrow"/>
        <family val="2"/>
        <scheme val="minor"/>
      </rPr>
      <t xml:space="preserve">Agricultural Economist
ARS | National Soil Dynamics Laboratory
</t>
    </r>
    <r>
      <rPr>
        <b/>
        <i/>
        <sz val="12"/>
        <color theme="4" tint="-0.249977111117893"/>
        <rFont val="Aptos Narrow"/>
        <family val="2"/>
        <scheme val="minor"/>
      </rPr>
      <t xml:space="preserve">
</t>
    </r>
    <r>
      <rPr>
        <b/>
        <i/>
        <sz val="11"/>
        <color theme="4" tint="-0.249977111117893"/>
        <rFont val="Aptos Narrow"/>
        <family val="2"/>
        <scheme val="minor"/>
      </rPr>
      <t xml:space="preserve">Agricultural Research Service
411 S Donahue Drive, Auburn, AL 36832
p: (334) 844-4741 ext. 2743 | c: (334) 332-2530
email: trent.morton@usda.gov
</t>
    </r>
    <r>
      <rPr>
        <b/>
        <i/>
        <sz val="12"/>
        <color theme="4" tint="-0.249977111117893"/>
        <rFont val="Aptos Narrow"/>
        <family val="2"/>
        <scheme val="minor"/>
      </rPr>
      <t xml:space="preserve">
</t>
    </r>
  </si>
  <si>
    <t>INSTRUCTIONS</t>
  </si>
  <si>
    <t>Step 1:</t>
  </si>
  <si>
    <t>Step 2:</t>
  </si>
  <si>
    <t>*Disclaimer: The estimation of all costs is relative to your own operation. Therefore, this calculator is to be used for information purposes only.</t>
  </si>
  <si>
    <t>NOTE: Manually input information into grey spaces and use the purple drop-down boxes to choose the machine information. The yellow cells will be auto-filled.</t>
  </si>
  <si>
    <t>RECOMMENDED POWER UNIT</t>
  </si>
  <si>
    <t>TOWED IMPLEMENT</t>
  </si>
  <si>
    <t>*</t>
  </si>
  <si>
    <t>Power Unit Fuel</t>
  </si>
  <si>
    <t>Field Capacity (acres/hr.)</t>
  </si>
  <si>
    <r>
      <t xml:space="preserve">*All cells marked with </t>
    </r>
    <r>
      <rPr>
        <b/>
        <i/>
        <sz val="9"/>
        <color theme="5"/>
        <rFont val="Aptos Narrow"/>
        <family val="2"/>
        <scheme val="minor"/>
      </rPr>
      <t xml:space="preserve">* </t>
    </r>
    <r>
      <rPr>
        <b/>
        <i/>
        <sz val="9"/>
        <rFont val="Aptos Narrow"/>
        <family val="2"/>
        <scheme val="minor"/>
      </rPr>
      <t>require your input.</t>
    </r>
  </si>
  <si>
    <t>MACHINERY INFORMATION</t>
  </si>
  <si>
    <t>LISTED PRICE: MSRP ($US)</t>
  </si>
  <si>
    <t>ECONOMIC LIFE (years)</t>
  </si>
  <si>
    <t>ANNUAL USE (hours)</t>
  </si>
  <si>
    <t>ENGINE OR PTO HORSEPOWER</t>
  </si>
  <si>
    <t>TOTAL HOURS (end of life)</t>
  </si>
  <si>
    <t>ACCOUNTING INFORMATION</t>
  </si>
  <si>
    <r>
      <t xml:space="preserve">SALVAGE VALUE FACTOR (% from </t>
    </r>
    <r>
      <rPr>
        <b/>
        <i/>
        <sz val="10"/>
        <color rgb="FF0000FF"/>
        <rFont val="Aptos Narrow"/>
        <family val="2"/>
        <scheme val="minor"/>
      </rPr>
      <t>Table 1</t>
    </r>
    <r>
      <rPr>
        <b/>
        <i/>
        <sz val="10"/>
        <color theme="1"/>
        <rFont val="Aptos Narrow"/>
        <family val="2"/>
        <scheme val="minor"/>
      </rPr>
      <t>)</t>
    </r>
  </si>
  <si>
    <t>REPAIR FACTOR (current % **usually zero)</t>
  </si>
  <si>
    <r>
      <t xml:space="preserve">REPAIR FACTOR  (end of life % from </t>
    </r>
    <r>
      <rPr>
        <b/>
        <i/>
        <sz val="10"/>
        <color rgb="FF0000FF"/>
        <rFont val="Aptos Narrow"/>
        <family val="2"/>
        <scheme val="minor"/>
      </rPr>
      <t>Table 3</t>
    </r>
    <r>
      <rPr>
        <b/>
        <i/>
        <sz val="10"/>
        <color theme="1"/>
        <rFont val="Aptos Narrow"/>
        <family val="2"/>
        <scheme val="minor"/>
      </rPr>
      <t>)</t>
    </r>
  </si>
  <si>
    <t>PURCHASE PRICE / USED VALUE ($US)</t>
  </si>
  <si>
    <t>ACCUMULATED HOURS (zero for new machine)</t>
  </si>
  <si>
    <t>FUEL PRICE ($US/gal.)</t>
  </si>
  <si>
    <t>WAGE RATE ($US/hr.)</t>
  </si>
  <si>
    <r>
      <t xml:space="preserve">CAPITAL RECOVERY FACTOR (from </t>
    </r>
    <r>
      <rPr>
        <b/>
        <i/>
        <sz val="10"/>
        <color rgb="FF0000FF"/>
        <rFont val="Aptos Narrow"/>
        <family val="2"/>
        <scheme val="minor"/>
      </rPr>
      <t>Table 2</t>
    </r>
    <r>
      <rPr>
        <b/>
        <i/>
        <sz val="10"/>
        <color theme="1"/>
        <rFont val="Aptos Narrow"/>
        <family val="2"/>
        <scheme val="minor"/>
      </rPr>
      <t>)</t>
    </r>
  </si>
  <si>
    <t>LISTED 
PRICE ($)</t>
  </si>
  <si>
    <t>INTEREST (cost of financing % - inflation %)</t>
  </si>
  <si>
    <t>OWNERSHIP COSTS (FIXED)</t>
  </si>
  <si>
    <t>REMAINING VALUE ($US)</t>
  </si>
  <si>
    <t>OPERATING COSTS (VARIABLE)</t>
  </si>
  <si>
    <t xml:space="preserve">TOTAL COSTS </t>
  </si>
  <si>
    <t>TOTAL HOURLY  COSTS ($US)</t>
  </si>
  <si>
    <t>TOTAL HOURLY  COSTS TRACTOR &amp; IMP ($US)</t>
  </si>
  <si>
    <t>POWER UNIT</t>
  </si>
  <si>
    <t>SELF-PROPELLED</t>
  </si>
  <si>
    <t>ESTIMATING MACHINERY COSTS (TRACTOR &amp; IMPLEMENT): SIMPLIFIED VERSION 2.0</t>
  </si>
  <si>
    <t>ESTIMATING MACHINERY COSTS (SELF-PROPELLED): SIMPLIFIED VERSION 2.0</t>
  </si>
  <si>
    <r>
      <rPr>
        <vertAlign val="superscript"/>
        <sz val="9"/>
        <rFont val="Aptos Narrow"/>
        <family val="2"/>
        <scheme val="minor"/>
      </rPr>
      <t>†</t>
    </r>
    <r>
      <rPr>
        <i/>
        <sz val="9"/>
        <rFont val="Aptos Narrow"/>
        <family val="2"/>
        <scheme val="minor"/>
      </rPr>
      <t>Find under "1 ASABE Salvage Value" tab</t>
    </r>
  </si>
  <si>
    <r>
      <rPr>
        <vertAlign val="superscript"/>
        <sz val="9"/>
        <rFont val="Aptos Narrow"/>
        <family val="2"/>
        <scheme val="minor"/>
      </rPr>
      <t>††</t>
    </r>
    <r>
      <rPr>
        <i/>
        <sz val="9"/>
        <rFont val="Aptos Narrow"/>
        <family val="2"/>
        <scheme val="minor"/>
      </rPr>
      <t>Find under "2 ASABE Capital Recovery" tab</t>
    </r>
  </si>
  <si>
    <r>
      <rPr>
        <vertAlign val="superscript"/>
        <sz val="9"/>
        <rFont val="Aptos Narrow"/>
        <family val="2"/>
        <scheme val="minor"/>
      </rPr>
      <t>††††</t>
    </r>
    <r>
      <rPr>
        <i/>
        <sz val="9"/>
        <rFont val="Aptos Narrow"/>
        <family val="2"/>
        <scheme val="minor"/>
      </rPr>
      <t>Find under "3 ASABE Repairs" tab</t>
    </r>
  </si>
  <si>
    <t xml:space="preserve">
</t>
  </si>
  <si>
    <t>UPDATED: 04/30/2025</t>
  </si>
  <si>
    <t>DISCLAIMER</t>
  </si>
  <si>
    <t>This calculator is provided strictly for educational and informational purposes. All users acknowledge and agree that they assume full responsibility and all associated risks arising from the use of this tool and any decisions made based on its outputs. The calculator is intended only as a general guide for estimating machinery-related costs and should not be relied upon as a substitute for professional financial, engineering, or managerial advice.
The USDA Agricultural Research Service (ARS) makes no guarantees regarding the accuracy, completeness, or applicability of the calculator, its formulas, or any results it produces. Although the tool draws on published standards and common cost-estimation practices, ARS does not warrant that the calculator is free from errors, omissions, or technical limitations, nor does it warrant that any such issues can or will be identified or corrected.
All functionality, calculations, and outputs are provided “as is”, without any express or implied warranty, including but not limited to warranties of accuracy, reliability, merchantability, or fitness for a particular purpose. ARS is not responsible for any interpretations, conclusions, financial decisions, or actions taken by users based on the calculator’s results.
Users are solely responsible for verifying the calculator’s suitability for their specific operation and for independently confirming all cost estimates before making management, financial, or operational decisions. Under no circumstances shall ARS be held liable for any direct, indirect, incidental, consequential, or special damages arising out of or connected with the use of this tool, including—but not limited to—errors in data entry, misapplication of results, or reliance on inaccurate or incomplete outputs.</t>
  </si>
  <si>
    <t>Begin by navigating to the “Tractor &amp; Imp Costs” worksheet. Select a towed implement from the purple drop‑down menu. The worksheet will automatically populate the recommended power unit (tractor, combine, or UTV) along with all corresponding machinery information.
If the operation involves a self‑propelled machine with no implement, use the “Self Propelled Costs” worksheet instead and select the appropriate machine from the purple drop‑down list. All relevant machinery information will appear in the yellow cells.
Next, select the appropriate fuel type (diesel or gasoline) from the purple drop‑down list. Note: Gasoline engines are uncommon.</t>
  </si>
  <si>
    <t>Remaining on the selected worksheet, proceed to the Accounting Information section. Enter all required inputs in the grey cells and select applicable equipment characteristics from the purple drop‑down menus.
Specify the interest rate (financing percentage minus U.S. inflation rate).
Then select the appropriate salvage value factor for the equipment using the “1 ASABE Salvage Value” tab.
Next, choose the correct repair factors—both current and end‑of‑life—from the “3 ASABE Repairs” tab. Current repair factors are usually zero for new equipment.
Enter the purchase price, accumulated hours (zero for new machines), fuel price per gallon, and wage rate per hour.
The Capital Recovery Factor, based on equipment lifespan and the selected interest rate, will populate automatically from the “2 ASABE Capital Recovery” tab.</t>
  </si>
  <si>
    <t>Step 3:</t>
  </si>
  <si>
    <t>After all required information has been entered, the worksheet will automatically compute all hourly ownership, operating, and total cost values in the yellow output cells.
Finally, the worksheet will calculate the total cost per acre for the selected tractor‑and‑implement combination or self‑propelled machine.
All cost information used in this tool is sourced from the Mississippi State University 2026 Crop Planning Budgets and published ASABE standards.</t>
  </si>
  <si>
    <r>
      <rPr>
        <b/>
        <i/>
        <sz val="18"/>
        <color theme="1"/>
        <rFont val="Aptos Narrow"/>
        <family val="2"/>
        <scheme val="minor"/>
      </rPr>
      <t xml:space="preserve">
ESTIMATING MACHINERY COSTS 2.0: GENERAL MACHINERY SPECS</t>
    </r>
    <r>
      <rPr>
        <i/>
        <sz val="11"/>
        <color theme="1"/>
        <rFont val="Aptos Narrow"/>
        <family val="2"/>
        <scheme val="minor"/>
      </rPr>
      <t xml:space="preserve">
</t>
    </r>
    <r>
      <rPr>
        <i/>
        <sz val="16"/>
        <color theme="1"/>
        <rFont val="Aptos Narrow"/>
        <family val="2"/>
        <scheme val="minor"/>
      </rPr>
      <t>Effective machinery management is essential for ensuring the productivity and financial sustainability of modern agricultural operations. To support informed decision‑making, producers must thoroughly evaluate the costs associated with acquiring, maintaining, and operating equipment within their production systems.
Machinery costs are generally categorized into two primary components: ownership (fixed) costs and operating (variable) costs. Ownership costs, which include depreciation, capital recovery, taxes, insurance, and housing, remain relatively constant regardless of the level of machine use. Operating costs vary with machine utilization and encompass repairs and maintenance, fuel and lubrication, and labor.
Total machinery cost for a given field operation is determined by combining ownership and operating costs. Although these costs are calculated on an hourly basis, they may be converted to a per‑acre value by incorporating the machine’s field capacity, expressed as acres or tons completed per hour. These cost estimates are valuable for budgeting, enterprise planning, and evaluating the overall economic performance of agricultural practices.
In Version 2.0 of this calculator, users may select a towed implement from a drop‑down menu, after which the recommended power unit (tractor, combine, or UTV) is automatically populated along with its corresponding machinery specifications and associated costs. All cost information utilized in this tool is derived from the Mississippi State University 2026 Crop Planning Budgets and published standards of the American Society of Agricultural and Biological Engineers (ASABE).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</si>
</sst>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quot;$&quot;#,##0.00"/>
    <numFmt numFmtId="166" formatCode="0.0"/>
    <numFmt numFmtId="167" formatCode="&quot;$&quot;#,##0"/>
  </numFmts>
  <fonts count="59" x14ac:knownFonts="1">
    <font>
      <sz val="11"/>
      <color theme="1"/>
      <name val="Aptos Narrow"/>
      <family val="2"/>
      <scheme val="minor"/>
    </font>
    <font>
      <b/>
      <sz val="11"/>
      <color theme="1"/>
      <name val="Aptos Narrow"/>
      <family val="2"/>
      <scheme val="minor"/>
    </font>
    <font>
      <b/>
      <sz val="18"/>
      <color theme="1"/>
      <name val="Aptos Narrow"/>
      <family val="2"/>
      <scheme val="minor"/>
    </font>
    <font>
      <sz val="10"/>
      <color theme="1"/>
      <name val="Aptos Narrow"/>
      <family val="2"/>
      <scheme val="minor"/>
    </font>
    <font>
      <b/>
      <i/>
      <sz val="10"/>
      <color theme="1"/>
      <name val="Aptos Narrow"/>
      <family val="2"/>
      <scheme val="minor"/>
    </font>
    <font>
      <i/>
      <sz val="10"/>
      <color theme="1"/>
      <name val="Aptos Narrow"/>
      <family val="2"/>
      <scheme val="minor"/>
    </font>
    <font>
      <b/>
      <sz val="10"/>
      <color theme="1"/>
      <name val="Aptos Narrow"/>
      <family val="2"/>
      <scheme val="minor"/>
    </font>
    <font>
      <b/>
      <i/>
      <sz val="18"/>
      <color theme="1"/>
      <name val="Aptos Narrow"/>
      <family val="2"/>
      <scheme val="minor"/>
    </font>
    <font>
      <u/>
      <sz val="11"/>
      <color theme="10"/>
      <name val="Aptos Narrow"/>
      <family val="2"/>
      <scheme val="minor"/>
    </font>
    <font>
      <i/>
      <sz val="9"/>
      <color theme="1"/>
      <name val="Aptos Narrow"/>
      <family val="2"/>
      <scheme val="minor"/>
    </font>
    <font>
      <i/>
      <u/>
      <sz val="9"/>
      <color theme="10"/>
      <name val="Aptos Narrow"/>
      <family val="2"/>
      <scheme val="minor"/>
    </font>
    <font>
      <b/>
      <i/>
      <sz val="12"/>
      <color theme="1"/>
      <name val="Aptos Narrow"/>
      <family val="2"/>
      <scheme val="minor"/>
    </font>
    <font>
      <b/>
      <i/>
      <u/>
      <sz val="11"/>
      <color rgb="FF0000FF"/>
      <name val="Aptos Narrow"/>
      <family val="2"/>
      <scheme val="minor"/>
    </font>
    <font>
      <i/>
      <sz val="11"/>
      <color theme="1"/>
      <name val="Aptos Narrow"/>
      <family val="2"/>
      <scheme val="minor"/>
    </font>
    <font>
      <b/>
      <i/>
      <sz val="14"/>
      <name val="Aptos Narrow"/>
      <family val="2"/>
      <scheme val="minor"/>
    </font>
    <font>
      <b/>
      <i/>
      <sz val="14"/>
      <color rgb="FF0066FF"/>
      <name val="Aptos Narrow"/>
      <family val="2"/>
      <scheme val="minor"/>
    </font>
    <font>
      <b/>
      <i/>
      <sz val="11"/>
      <color rgb="FF0000FF"/>
      <name val="Aptos Narrow"/>
      <family val="2"/>
      <scheme val="minor"/>
    </font>
    <font>
      <b/>
      <vertAlign val="superscript"/>
      <sz val="11"/>
      <color rgb="FF0000FF"/>
      <name val="Aptos Narrow"/>
      <family val="2"/>
    </font>
    <font>
      <i/>
      <sz val="9"/>
      <name val="Aptos Narrow"/>
      <family val="2"/>
      <scheme val="minor"/>
    </font>
    <font>
      <vertAlign val="superscript"/>
      <sz val="9"/>
      <name val="Aptos Narrow"/>
      <family val="2"/>
      <scheme val="minor"/>
    </font>
    <font>
      <i/>
      <sz val="11"/>
      <color rgb="FF0000FF"/>
      <name val="Aptos Narrow"/>
      <family val="2"/>
      <scheme val="minor"/>
    </font>
    <font>
      <b/>
      <sz val="11"/>
      <color rgb="FF0000FF"/>
      <name val="Aptos Narrow"/>
      <family val="2"/>
      <scheme val="minor"/>
    </font>
    <font>
      <i/>
      <u/>
      <sz val="11"/>
      <color theme="1"/>
      <name val="Aptos Narrow"/>
      <family val="2"/>
      <scheme val="minor"/>
    </font>
    <font>
      <b/>
      <vertAlign val="superscript"/>
      <sz val="11"/>
      <color rgb="FF0000FF"/>
      <name val="Aptos Narrow"/>
      <family val="2"/>
      <scheme val="minor"/>
    </font>
    <font>
      <i/>
      <vertAlign val="superscript"/>
      <sz val="9"/>
      <name val="Aptos Narrow"/>
      <family val="2"/>
      <scheme val="minor"/>
    </font>
    <font>
      <b/>
      <i/>
      <sz val="12"/>
      <name val="Aptos Narrow"/>
      <family val="2"/>
      <scheme val="minor"/>
    </font>
    <font>
      <sz val="12"/>
      <name val="Aptos Narrow"/>
      <family val="2"/>
      <scheme val="minor"/>
    </font>
    <font>
      <b/>
      <i/>
      <sz val="14"/>
      <color theme="3" tint="9.9978637043366805E-2"/>
      <name val="Aptos Narrow"/>
      <family val="2"/>
      <scheme val="minor"/>
    </font>
    <font>
      <b/>
      <i/>
      <sz val="18"/>
      <color theme="3" tint="9.9978637043366805E-2"/>
      <name val="Aptos Narrow"/>
      <family val="2"/>
      <scheme val="minor"/>
    </font>
    <font>
      <i/>
      <sz val="14"/>
      <color theme="1"/>
      <name val="Aptos Narrow"/>
      <family val="2"/>
      <scheme val="minor"/>
    </font>
    <font>
      <b/>
      <i/>
      <sz val="14"/>
      <color rgb="FF002060"/>
      <name val="Aptos Narrow"/>
      <family val="2"/>
      <scheme val="minor"/>
    </font>
    <font>
      <b/>
      <i/>
      <sz val="12"/>
      <color theme="4" tint="-0.249977111117893"/>
      <name val="Aptos Narrow"/>
      <family val="2"/>
      <scheme val="minor"/>
    </font>
    <font>
      <b/>
      <i/>
      <sz val="16"/>
      <color theme="4" tint="-0.249977111117893"/>
      <name val="Aptos Narrow"/>
      <family val="2"/>
      <scheme val="minor"/>
    </font>
    <font>
      <b/>
      <i/>
      <sz val="11"/>
      <color theme="4" tint="-0.249977111117893"/>
      <name val="Aptos Narrow"/>
      <family val="2"/>
      <scheme val="minor"/>
    </font>
    <font>
      <b/>
      <i/>
      <sz val="14"/>
      <color rgb="FF0070C0"/>
      <name val="Aptos Narrow"/>
      <family val="2"/>
      <scheme val="minor"/>
    </font>
    <font>
      <b/>
      <i/>
      <sz val="16"/>
      <color theme="1"/>
      <name val="Aptos Narrow"/>
      <family val="2"/>
      <scheme val="minor"/>
    </font>
    <font>
      <sz val="11"/>
      <color theme="3" tint="9.9978637043366805E-2"/>
      <name val="Aptos Narrow"/>
      <family val="2"/>
      <scheme val="minor"/>
    </font>
    <font>
      <b/>
      <i/>
      <sz val="11"/>
      <color theme="1"/>
      <name val="Aptos Narrow"/>
      <family val="2"/>
      <scheme val="minor"/>
    </font>
    <font>
      <b/>
      <i/>
      <sz val="16"/>
      <color theme="0"/>
      <name val="Aptos Narrow"/>
      <family val="2"/>
      <scheme val="minor"/>
    </font>
    <font>
      <b/>
      <i/>
      <sz val="9"/>
      <color rgb="FF7030A0"/>
      <name val="Aptos Narrow"/>
      <family val="2"/>
      <scheme val="minor"/>
    </font>
    <font>
      <b/>
      <i/>
      <sz val="9"/>
      <name val="Aptos Narrow"/>
      <family val="2"/>
      <scheme val="minor"/>
    </font>
    <font>
      <b/>
      <sz val="10"/>
      <color theme="5"/>
      <name val="Aptos Narrow"/>
      <family val="2"/>
      <scheme val="minor"/>
    </font>
    <font>
      <b/>
      <i/>
      <sz val="10"/>
      <color theme="0" tint="-4.9989318521683403E-2"/>
      <name val="Aptos Narrow"/>
      <family val="2"/>
      <scheme val="minor"/>
    </font>
    <font>
      <b/>
      <i/>
      <sz val="12"/>
      <color theme="0" tint="-4.9989318521683403E-2"/>
      <name val="Aptos Narrow"/>
      <family val="2"/>
      <scheme val="minor"/>
    </font>
    <font>
      <b/>
      <i/>
      <sz val="9"/>
      <color theme="1"/>
      <name val="Aptos Narrow"/>
      <family val="2"/>
      <scheme val="minor"/>
    </font>
    <font>
      <b/>
      <i/>
      <sz val="9"/>
      <color theme="5"/>
      <name val="Aptos Narrow"/>
      <family val="2"/>
      <scheme val="minor"/>
    </font>
    <font>
      <b/>
      <i/>
      <sz val="9"/>
      <color theme="0" tint="-4.9989318521683403E-2"/>
      <name val="Aptos Narrow"/>
      <family val="2"/>
      <scheme val="minor"/>
    </font>
    <font>
      <i/>
      <sz val="10"/>
      <name val="Aptos Narrow"/>
      <family val="2"/>
      <scheme val="minor"/>
    </font>
    <font>
      <b/>
      <i/>
      <sz val="12"/>
      <color theme="0"/>
      <name val="Aptos Narrow"/>
      <family val="2"/>
      <scheme val="minor"/>
    </font>
    <font>
      <b/>
      <i/>
      <sz val="10"/>
      <name val="Aptos Narrow"/>
      <family val="2"/>
      <scheme val="minor"/>
    </font>
    <font>
      <b/>
      <i/>
      <sz val="10"/>
      <color rgb="FF0000FF"/>
      <name val="Aptos Narrow"/>
      <family val="2"/>
      <scheme val="minor"/>
    </font>
    <font>
      <b/>
      <i/>
      <sz val="10"/>
      <color theme="5"/>
      <name val="Aptos Narrow"/>
      <family val="2"/>
      <scheme val="minor"/>
    </font>
    <font>
      <i/>
      <sz val="11"/>
      <name val="Aptos Narrow"/>
      <family val="2"/>
      <scheme val="minor"/>
    </font>
    <font>
      <i/>
      <sz val="12"/>
      <name val="Aptos Narrow"/>
      <family val="2"/>
      <scheme val="minor"/>
    </font>
    <font>
      <b/>
      <i/>
      <sz val="20"/>
      <color rgb="FF7030A0"/>
      <name val="Aptos Narrow"/>
      <family val="2"/>
      <scheme val="minor"/>
    </font>
    <font>
      <b/>
      <i/>
      <sz val="14"/>
      <color theme="1"/>
      <name val="Aptos Narrow"/>
      <family val="2"/>
      <scheme val="minor"/>
    </font>
    <font>
      <b/>
      <i/>
      <sz val="10"/>
      <color theme="0"/>
      <name val="Aptos Narrow"/>
      <family val="2"/>
      <scheme val="minor"/>
    </font>
    <font>
      <sz val="14"/>
      <color theme="1"/>
      <name val="Aptos Narrow"/>
      <family val="2"/>
      <scheme val="minor"/>
    </font>
    <font>
      <i/>
      <sz val="16"/>
      <color theme="1"/>
      <name val="Aptos Narrow"/>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CCCCFF"/>
        <bgColor indexed="64"/>
      </patternFill>
    </fill>
    <fill>
      <patternFill patternType="solid">
        <fgColor theme="0" tint="-0.34998626667073579"/>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9F71C5"/>
        <bgColor indexed="64"/>
      </patternFill>
    </fill>
    <fill>
      <patternFill patternType="solid">
        <fgColor rgb="FFFFFFCC"/>
        <bgColor indexed="64"/>
      </patternFill>
    </fill>
    <fill>
      <patternFill patternType="solid">
        <fgColor rgb="FFA75FCF"/>
        <bgColor indexed="64"/>
      </patternFill>
    </fill>
  </fills>
  <borders count="32">
    <border>
      <left/>
      <right/>
      <top/>
      <bottom/>
      <diagonal/>
    </border>
    <border>
      <left/>
      <right/>
      <top/>
      <bottom style="medium">
        <color auto="1"/>
      </bottom>
      <diagonal/>
    </border>
    <border>
      <left style="medium">
        <color auto="1"/>
      </left>
      <right/>
      <top/>
      <bottom/>
      <diagonal/>
    </border>
    <border>
      <left/>
      <right style="medium">
        <color auto="1"/>
      </right>
      <top/>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medium">
        <color auto="1"/>
      </left>
      <right style="medium">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style="medium">
        <color auto="1"/>
      </top>
      <bottom style="thin">
        <color auto="1"/>
      </bottom>
      <diagonal/>
    </border>
    <border>
      <left/>
      <right/>
      <top style="thin">
        <color auto="1"/>
      </top>
      <bottom style="medium">
        <color auto="1"/>
      </bottom>
      <diagonal/>
    </border>
    <border>
      <left/>
      <right/>
      <top/>
      <bottom style="thin">
        <color indexed="64"/>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style="thin">
        <color indexed="64"/>
      </right>
      <top/>
      <bottom/>
      <diagonal/>
    </border>
    <border>
      <left/>
      <right style="thin">
        <color auto="1"/>
      </right>
      <top style="thin">
        <color auto="1"/>
      </top>
      <bottom style="thin">
        <color auto="1"/>
      </bottom>
      <diagonal/>
    </border>
  </borders>
  <cellStyleXfs count="2">
    <xf numFmtId="0" fontId="0" fillId="0" borderId="0"/>
    <xf numFmtId="0" fontId="8" fillId="0" borderId="0" applyNumberFormat="0" applyFill="0" applyBorder="0" applyAlignment="0" applyProtection="0"/>
  </cellStyleXfs>
  <cellXfs count="330">
    <xf numFmtId="0" fontId="0" fillId="0" borderId="0" xfId="0"/>
    <xf numFmtId="0" fontId="3" fillId="0" borderId="0" xfId="0" applyFont="1"/>
    <xf numFmtId="0" fontId="3" fillId="0" borderId="0" xfId="0" applyFont="1" applyAlignment="1">
      <alignment horizontal="left"/>
    </xf>
    <xf numFmtId="0" fontId="4" fillId="2" borderId="0" xfId="0" applyFont="1" applyFill="1" applyAlignment="1">
      <alignment horizontal="left"/>
    </xf>
    <xf numFmtId="0" fontId="4" fillId="2" borderId="4" xfId="0" applyFont="1" applyFill="1" applyBorder="1" applyAlignment="1">
      <alignment horizontal="left"/>
    </xf>
    <xf numFmtId="0" fontId="4" fillId="2" borderId="5" xfId="0" applyFont="1" applyFill="1" applyBorder="1" applyAlignment="1">
      <alignment horizontal="center"/>
    </xf>
    <xf numFmtId="0" fontId="4" fillId="2" borderId="4" xfId="0" applyFont="1" applyFill="1" applyBorder="1" applyAlignment="1">
      <alignment horizontal="center"/>
    </xf>
    <xf numFmtId="0" fontId="4" fillId="2" borderId="6" xfId="0" applyFont="1" applyFill="1" applyBorder="1" applyAlignment="1">
      <alignment horizontal="center"/>
    </xf>
    <xf numFmtId="0" fontId="4" fillId="3" borderId="0" xfId="0" applyFont="1" applyFill="1" applyAlignment="1">
      <alignment horizontal="left"/>
    </xf>
    <xf numFmtId="0" fontId="4" fillId="3" borderId="7" xfId="0" applyFont="1" applyFill="1" applyBorder="1" applyAlignment="1">
      <alignment horizontal="center"/>
    </xf>
    <xf numFmtId="9" fontId="5" fillId="3" borderId="8" xfId="0" applyNumberFormat="1" applyFont="1" applyFill="1" applyBorder="1" applyAlignment="1">
      <alignment horizontal="center"/>
    </xf>
    <xf numFmtId="9" fontId="5" fillId="3" borderId="9" xfId="0" applyNumberFormat="1" applyFont="1" applyFill="1" applyBorder="1" applyAlignment="1">
      <alignment horizontal="center"/>
    </xf>
    <xf numFmtId="9" fontId="5" fillId="3" borderId="7" xfId="0" applyNumberFormat="1" applyFont="1" applyFill="1" applyBorder="1" applyAlignment="1">
      <alignment horizontal="center"/>
    </xf>
    <xf numFmtId="9" fontId="5" fillId="3" borderId="8" xfId="0" applyNumberFormat="1" applyFont="1" applyFill="1" applyBorder="1"/>
    <xf numFmtId="9" fontId="5" fillId="3" borderId="9" xfId="0" applyNumberFormat="1" applyFont="1" applyFill="1" applyBorder="1"/>
    <xf numFmtId="0" fontId="4" fillId="4" borderId="0" xfId="0" applyFont="1" applyFill="1" applyAlignment="1">
      <alignment horizontal="left"/>
    </xf>
    <xf numFmtId="9" fontId="5" fillId="4" borderId="2" xfId="0" applyNumberFormat="1" applyFont="1" applyFill="1" applyBorder="1" applyAlignment="1">
      <alignment horizontal="center"/>
    </xf>
    <xf numFmtId="9" fontId="5" fillId="4" borderId="0" xfId="0" applyNumberFormat="1" applyFont="1" applyFill="1" applyAlignment="1">
      <alignment horizontal="center"/>
    </xf>
    <xf numFmtId="9" fontId="5" fillId="4" borderId="3" xfId="0" applyNumberFormat="1" applyFont="1" applyFill="1" applyBorder="1" applyAlignment="1">
      <alignment horizontal="center"/>
    </xf>
    <xf numFmtId="0" fontId="5" fillId="0" borderId="0" xfId="0" applyFont="1" applyAlignment="1">
      <alignment horizontal="left"/>
    </xf>
    <xf numFmtId="0" fontId="5" fillId="0" borderId="0" xfId="0" applyFont="1" applyAlignment="1">
      <alignment horizontal="center"/>
    </xf>
    <xf numFmtId="0" fontId="5" fillId="0" borderId="0" xfId="0" applyFont="1"/>
    <xf numFmtId="0" fontId="6" fillId="0" borderId="0" xfId="0" applyFont="1"/>
    <xf numFmtId="0" fontId="4" fillId="3" borderId="1" xfId="0" applyFont="1" applyFill="1" applyBorder="1" applyAlignment="1">
      <alignment horizontal="left"/>
    </xf>
    <xf numFmtId="0" fontId="4" fillId="3" borderId="10" xfId="0" applyFont="1" applyFill="1" applyBorder="1" applyAlignment="1">
      <alignment horizontal="center"/>
    </xf>
    <xf numFmtId="0" fontId="4" fillId="3" borderId="10" xfId="0" applyFont="1" applyFill="1" applyBorder="1" applyAlignment="1">
      <alignment horizontal="center" wrapText="1"/>
    </xf>
    <xf numFmtId="0" fontId="4" fillId="0" borderId="0" xfId="0" applyFont="1" applyAlignment="1">
      <alignment horizontal="center"/>
    </xf>
    <xf numFmtId="0" fontId="4" fillId="0" borderId="0" xfId="0" applyFont="1"/>
    <xf numFmtId="0" fontId="4" fillId="0" borderId="0" xfId="0" applyFont="1" applyAlignment="1">
      <alignment horizontal="left" wrapText="1"/>
    </xf>
    <xf numFmtId="9" fontId="5" fillId="4" borderId="11" xfId="0" applyNumberFormat="1" applyFont="1" applyFill="1" applyBorder="1" applyAlignment="1">
      <alignment horizontal="center"/>
    </xf>
    <xf numFmtId="9" fontId="3" fillId="0" borderId="0" xfId="0" applyNumberFormat="1" applyFont="1" applyAlignment="1">
      <alignment horizontal="left"/>
    </xf>
    <xf numFmtId="0" fontId="3" fillId="0" borderId="0" xfId="0" applyFont="1" applyAlignment="1">
      <alignment horizontal="center"/>
    </xf>
    <xf numFmtId="0" fontId="4" fillId="4" borderId="0" xfId="0" applyFont="1" applyFill="1" applyAlignment="1">
      <alignment horizontal="left" vertical="top"/>
    </xf>
    <xf numFmtId="9" fontId="5" fillId="4" borderId="11" xfId="0" applyNumberFormat="1" applyFont="1" applyFill="1" applyBorder="1" applyAlignment="1">
      <alignment horizontal="center" vertical="top"/>
    </xf>
    <xf numFmtId="0" fontId="3" fillId="0" borderId="0" xfId="0" applyFont="1" applyAlignment="1">
      <alignment horizontal="center" vertical="top"/>
    </xf>
    <xf numFmtId="0" fontId="3" fillId="0" borderId="0" xfId="0" applyFont="1" applyAlignment="1">
      <alignment horizontal="left" vertical="top"/>
    </xf>
    <xf numFmtId="0" fontId="5" fillId="0" borderId="0" xfId="0" applyFont="1" applyAlignment="1">
      <alignment horizontal="left" vertical="top"/>
    </xf>
    <xf numFmtId="9" fontId="3" fillId="0" borderId="0" xfId="0" applyNumberFormat="1" applyFont="1" applyAlignment="1">
      <alignment horizontal="left" vertical="top"/>
    </xf>
    <xf numFmtId="0" fontId="3" fillId="0" borderId="0" xfId="0" applyFont="1" applyAlignment="1">
      <alignment vertical="top"/>
    </xf>
    <xf numFmtId="0" fontId="2" fillId="0" borderId="0" xfId="0" applyFont="1" applyAlignment="1">
      <alignment vertical="top"/>
    </xf>
    <xf numFmtId="0" fontId="4" fillId="2" borderId="12" xfId="0" applyFont="1" applyFill="1" applyBorder="1"/>
    <xf numFmtId="9" fontId="4" fillId="2" borderId="12" xfId="0" applyNumberFormat="1" applyFont="1" applyFill="1" applyBorder="1" applyAlignment="1">
      <alignment horizontal="center"/>
    </xf>
    <xf numFmtId="0" fontId="4" fillId="4" borderId="13" xfId="0" applyFont="1" applyFill="1" applyBorder="1" applyAlignment="1">
      <alignment horizontal="left"/>
    </xf>
    <xf numFmtId="164" fontId="5" fillId="4" borderId="13" xfId="0" applyNumberFormat="1" applyFont="1" applyFill="1" applyBorder="1" applyAlignment="1">
      <alignment horizontal="center"/>
    </xf>
    <xf numFmtId="10" fontId="3" fillId="0" borderId="0" xfId="0" applyNumberFormat="1" applyFont="1" applyAlignment="1">
      <alignment horizontal="left"/>
    </xf>
    <xf numFmtId="0" fontId="4" fillId="4" borderId="14" xfId="0" applyFont="1" applyFill="1" applyBorder="1" applyAlignment="1">
      <alignment horizontal="left"/>
    </xf>
    <xf numFmtId="164" fontId="5" fillId="4" borderId="14" xfId="0" applyNumberFormat="1" applyFont="1" applyFill="1" applyBorder="1" applyAlignment="1">
      <alignment horizontal="center"/>
    </xf>
    <xf numFmtId="0" fontId="4" fillId="5" borderId="0" xfId="0" applyFont="1" applyFill="1"/>
    <xf numFmtId="0" fontId="4" fillId="2" borderId="15" xfId="0" applyFont="1" applyFill="1" applyBorder="1"/>
    <xf numFmtId="3" fontId="4" fillId="2" borderId="16" xfId="0" applyNumberFormat="1" applyFont="1" applyFill="1" applyBorder="1" applyAlignment="1">
      <alignment horizontal="center"/>
    </xf>
    <xf numFmtId="3" fontId="4" fillId="2" borderId="15" xfId="0" applyNumberFormat="1" applyFont="1" applyFill="1" applyBorder="1" applyAlignment="1">
      <alignment horizontal="center"/>
    </xf>
    <xf numFmtId="0" fontId="4" fillId="4" borderId="0" xfId="0" applyFont="1" applyFill="1"/>
    <xf numFmtId="0" fontId="5" fillId="2" borderId="15" xfId="0" applyFont="1" applyFill="1" applyBorder="1"/>
    <xf numFmtId="0" fontId="6" fillId="2" borderId="13" xfId="0" applyFont="1" applyFill="1" applyBorder="1" applyAlignment="1">
      <alignment horizontal="left" wrapText="1"/>
    </xf>
    <xf numFmtId="165" fontId="6" fillId="2" borderId="13" xfId="0" applyNumberFormat="1" applyFont="1" applyFill="1" applyBorder="1" applyAlignment="1">
      <alignment horizontal="center" wrapText="1"/>
    </xf>
    <xf numFmtId="0" fontId="6" fillId="2" borderId="13" xfId="0" applyFont="1" applyFill="1" applyBorder="1" applyAlignment="1">
      <alignment horizontal="center" wrapText="1"/>
    </xf>
    <xf numFmtId="0" fontId="3" fillId="0" borderId="13" xfId="0" applyFont="1" applyBorder="1" applyAlignment="1">
      <alignment horizontal="left" wrapText="1"/>
    </xf>
    <xf numFmtId="165" fontId="3" fillId="0" borderId="13" xfId="0" applyNumberFormat="1" applyFont="1" applyBorder="1" applyAlignment="1">
      <alignment horizontal="center" wrapText="1"/>
    </xf>
    <xf numFmtId="0" fontId="3" fillId="0" borderId="13" xfId="0" applyFont="1" applyBorder="1" applyAlignment="1">
      <alignment horizontal="center" wrapText="1"/>
    </xf>
    <xf numFmtId="2" fontId="3" fillId="0" borderId="13" xfId="0" applyNumberFormat="1" applyFont="1" applyBorder="1" applyAlignment="1">
      <alignment horizontal="center" wrapText="1"/>
    </xf>
    <xf numFmtId="164" fontId="3" fillId="0" borderId="13" xfId="0" applyNumberFormat="1" applyFont="1" applyBorder="1" applyAlignment="1">
      <alignment horizontal="center" wrapText="1"/>
    </xf>
    <xf numFmtId="166" fontId="3" fillId="0" borderId="13" xfId="0" applyNumberFormat="1" applyFont="1" applyBorder="1" applyAlignment="1">
      <alignment horizontal="center" wrapText="1"/>
    </xf>
    <xf numFmtId="0" fontId="3" fillId="6" borderId="13" xfId="0" applyFont="1" applyFill="1" applyBorder="1" applyAlignment="1">
      <alignment horizontal="left"/>
    </xf>
    <xf numFmtId="167" fontId="3" fillId="6" borderId="13" xfId="0" applyNumberFormat="1" applyFont="1" applyFill="1" applyBorder="1" applyAlignment="1">
      <alignment horizontal="center"/>
    </xf>
    <xf numFmtId="0" fontId="3" fillId="6" borderId="13" xfId="0" applyFont="1" applyFill="1" applyBorder="1" applyAlignment="1">
      <alignment horizontal="center"/>
    </xf>
    <xf numFmtId="2" fontId="3" fillId="6" borderId="13" xfId="0" applyNumberFormat="1" applyFont="1" applyFill="1" applyBorder="1" applyAlignment="1">
      <alignment horizontal="center"/>
    </xf>
    <xf numFmtId="164" fontId="3" fillId="6" borderId="13" xfId="0" quotePrefix="1" applyNumberFormat="1" applyFont="1" applyFill="1" applyBorder="1" applyAlignment="1">
      <alignment horizontal="center"/>
    </xf>
    <xf numFmtId="165" fontId="3" fillId="6" borderId="13" xfId="0" applyNumberFormat="1" applyFont="1" applyFill="1" applyBorder="1" applyAlignment="1">
      <alignment horizontal="center"/>
    </xf>
    <xf numFmtId="166" fontId="3" fillId="6" borderId="13" xfId="0" applyNumberFormat="1" applyFont="1" applyFill="1" applyBorder="1" applyAlignment="1">
      <alignment horizontal="center"/>
    </xf>
    <xf numFmtId="0" fontId="3" fillId="0" borderId="13" xfId="0" applyFont="1" applyBorder="1" applyAlignment="1">
      <alignment horizontal="left"/>
    </xf>
    <xf numFmtId="167" fontId="3" fillId="0" borderId="13" xfId="0" applyNumberFormat="1" applyFont="1" applyBorder="1" applyAlignment="1">
      <alignment horizontal="center"/>
    </xf>
    <xf numFmtId="0" fontId="3" fillId="0" borderId="13" xfId="0" applyFont="1" applyBorder="1" applyAlignment="1">
      <alignment horizontal="center"/>
    </xf>
    <xf numFmtId="2" fontId="3" fillId="0" borderId="13" xfId="0" applyNumberFormat="1" applyFont="1" applyBorder="1" applyAlignment="1">
      <alignment horizontal="center"/>
    </xf>
    <xf numFmtId="164" fontId="3" fillId="0" borderId="13" xfId="0" quotePrefix="1" applyNumberFormat="1" applyFont="1" applyBorder="1" applyAlignment="1">
      <alignment horizontal="center"/>
    </xf>
    <xf numFmtId="165" fontId="3" fillId="0" borderId="13" xfId="0" applyNumberFormat="1" applyFont="1" applyBorder="1" applyAlignment="1">
      <alignment horizontal="center"/>
    </xf>
    <xf numFmtId="166" fontId="3" fillId="0" borderId="13" xfId="0" applyNumberFormat="1" applyFont="1" applyBorder="1" applyAlignment="1">
      <alignment horizontal="center"/>
    </xf>
    <xf numFmtId="1" fontId="5" fillId="0" borderId="0" xfId="0" applyNumberFormat="1" applyFont="1" applyAlignment="1">
      <alignment horizontal="center"/>
    </xf>
    <xf numFmtId="0" fontId="6" fillId="7" borderId="13" xfId="0" applyFont="1" applyFill="1" applyBorder="1" applyAlignment="1">
      <alignment horizontal="left" wrapText="1"/>
    </xf>
    <xf numFmtId="2" fontId="6" fillId="7" borderId="13" xfId="0" applyNumberFormat="1" applyFont="1" applyFill="1" applyBorder="1" applyAlignment="1">
      <alignment horizontal="center" wrapText="1"/>
    </xf>
    <xf numFmtId="167" fontId="6" fillId="7" borderId="13" xfId="0" applyNumberFormat="1" applyFont="1" applyFill="1" applyBorder="1" applyAlignment="1">
      <alignment horizontal="center" wrapText="1"/>
    </xf>
    <xf numFmtId="0" fontId="6" fillId="7" borderId="13" xfId="0" applyFont="1" applyFill="1" applyBorder="1" applyAlignment="1">
      <alignment horizontal="center" wrapText="1"/>
    </xf>
    <xf numFmtId="164" fontId="6" fillId="7" borderId="13" xfId="0" applyNumberFormat="1" applyFont="1" applyFill="1" applyBorder="1" applyAlignment="1">
      <alignment horizontal="center" wrapText="1"/>
    </xf>
    <xf numFmtId="165" fontId="6" fillId="7" borderId="13" xfId="0" applyNumberFormat="1" applyFont="1" applyFill="1" applyBorder="1" applyAlignment="1">
      <alignment horizontal="center" wrapText="1"/>
    </xf>
    <xf numFmtId="0" fontId="3" fillId="0" borderId="13" xfId="0" quotePrefix="1" applyFont="1" applyBorder="1" applyAlignment="1">
      <alignment horizontal="left" wrapText="1"/>
    </xf>
    <xf numFmtId="164" fontId="3" fillId="6" borderId="13" xfId="0" applyNumberFormat="1" applyFont="1" applyFill="1" applyBorder="1" applyAlignment="1">
      <alignment horizontal="center"/>
    </xf>
    <xf numFmtId="164" fontId="3" fillId="0" borderId="13" xfId="0" applyNumberFormat="1" applyFont="1" applyBorder="1" applyAlignment="1">
      <alignment horizontal="center"/>
    </xf>
    <xf numFmtId="2" fontId="3" fillId="6" borderId="13" xfId="0" quotePrefix="1" applyNumberFormat="1" applyFont="1" applyFill="1" applyBorder="1" applyAlignment="1">
      <alignment horizontal="center"/>
    </xf>
    <xf numFmtId="2" fontId="3" fillId="0" borderId="13" xfId="0" quotePrefix="1" applyNumberFormat="1" applyFont="1" applyBorder="1" applyAlignment="1">
      <alignment horizontal="center"/>
    </xf>
    <xf numFmtId="167" fontId="3" fillId="0" borderId="0" xfId="0" applyNumberFormat="1" applyFont="1" applyAlignment="1">
      <alignment horizontal="left"/>
    </xf>
    <xf numFmtId="165" fontId="3" fillId="0" borderId="0" xfId="0" applyNumberFormat="1" applyFont="1" applyAlignment="1">
      <alignment horizontal="left"/>
    </xf>
    <xf numFmtId="0" fontId="6" fillId="2" borderId="13" xfId="0" applyFont="1" applyFill="1" applyBorder="1" applyAlignment="1">
      <alignment horizontal="center"/>
    </xf>
    <xf numFmtId="49" fontId="3" fillId="6" borderId="13" xfId="0" applyNumberFormat="1" applyFont="1" applyFill="1" applyBorder="1" applyAlignment="1">
      <alignment horizontal="left"/>
    </xf>
    <xf numFmtId="49" fontId="3" fillId="0" borderId="13" xfId="0" applyNumberFormat="1" applyFont="1" applyBorder="1" applyAlignment="1">
      <alignment horizontal="left"/>
    </xf>
    <xf numFmtId="166" fontId="3" fillId="0" borderId="0" xfId="0" applyNumberFormat="1" applyFont="1" applyAlignment="1">
      <alignment horizontal="left"/>
    </xf>
    <xf numFmtId="0" fontId="10" fillId="0" borderId="0" xfId="1" applyFont="1" applyAlignment="1">
      <alignment horizontal="left"/>
    </xf>
    <xf numFmtId="0" fontId="4" fillId="2" borderId="13" xfId="0" applyFont="1" applyFill="1" applyBorder="1" applyAlignment="1">
      <alignment horizontal="left" wrapText="1"/>
    </xf>
    <xf numFmtId="0" fontId="4" fillId="2" borderId="13" xfId="0" applyFont="1" applyFill="1" applyBorder="1"/>
    <xf numFmtId="0" fontId="4" fillId="2" borderId="13" xfId="0" applyFont="1" applyFill="1" applyBorder="1" applyAlignment="1">
      <alignment horizontal="left" vertical="center" wrapText="1"/>
    </xf>
    <xf numFmtId="0" fontId="3" fillId="0" borderId="18" xfId="0" applyFont="1" applyBorder="1" applyAlignment="1">
      <alignment horizontal="left" wrapText="1"/>
    </xf>
    <xf numFmtId="9" fontId="3" fillId="0" borderId="13" xfId="0" applyNumberFormat="1" applyFont="1" applyBorder="1" applyAlignment="1">
      <alignment horizontal="left"/>
    </xf>
    <xf numFmtId="164" fontId="5" fillId="0" borderId="13" xfId="0" applyNumberFormat="1" applyFont="1" applyBorder="1" applyAlignment="1">
      <alignment horizontal="left"/>
    </xf>
    <xf numFmtId="0" fontId="3" fillId="0" borderId="18" xfId="0" applyFont="1" applyBorder="1" applyAlignment="1">
      <alignment horizontal="left"/>
    </xf>
    <xf numFmtId="0" fontId="11" fillId="3" borderId="19" xfId="0" applyFont="1" applyFill="1" applyBorder="1"/>
    <xf numFmtId="0" fontId="12" fillId="3" borderId="19" xfId="1" applyFont="1" applyFill="1" applyBorder="1" applyProtection="1">
      <protection locked="0"/>
    </xf>
    <xf numFmtId="0" fontId="13" fillId="3" borderId="19" xfId="0" applyFont="1" applyFill="1" applyBorder="1"/>
    <xf numFmtId="0" fontId="11" fillId="4" borderId="15" xfId="0" applyFont="1" applyFill="1" applyBorder="1"/>
    <xf numFmtId="0" fontId="12" fillId="4" borderId="15" xfId="1" applyFont="1" applyFill="1" applyBorder="1" applyAlignment="1" applyProtection="1">
      <protection locked="0"/>
    </xf>
    <xf numFmtId="0" fontId="13" fillId="4" borderId="15" xfId="0" applyFont="1" applyFill="1" applyBorder="1"/>
    <xf numFmtId="0" fontId="11" fillId="3" borderId="15" xfId="0" applyFont="1" applyFill="1" applyBorder="1"/>
    <xf numFmtId="0" fontId="12" fillId="3" borderId="15" xfId="1" applyFont="1" applyFill="1" applyBorder="1" applyProtection="1">
      <protection locked="0"/>
    </xf>
    <xf numFmtId="0" fontId="13" fillId="3" borderId="15" xfId="0" applyFont="1" applyFill="1" applyBorder="1"/>
    <xf numFmtId="0" fontId="12" fillId="4" borderId="15" xfId="1" applyFont="1" applyFill="1" applyBorder="1" applyProtection="1">
      <protection locked="0"/>
    </xf>
    <xf numFmtId="0" fontId="12" fillId="4" borderId="15" xfId="1" applyFont="1" applyFill="1" applyBorder="1"/>
    <xf numFmtId="0" fontId="11" fillId="3" borderId="20" xfId="0" applyFont="1" applyFill="1" applyBorder="1"/>
    <xf numFmtId="0" fontId="12" fillId="3" borderId="20" xfId="1" applyFont="1" applyFill="1" applyBorder="1"/>
    <xf numFmtId="0" fontId="13" fillId="3" borderId="20" xfId="0" applyFont="1" applyFill="1" applyBorder="1"/>
    <xf numFmtId="0" fontId="13" fillId="0" borderId="0" xfId="0" applyFont="1"/>
    <xf numFmtId="0" fontId="9" fillId="0" borderId="0" xfId="0" applyFont="1"/>
    <xf numFmtId="0" fontId="25" fillId="4" borderId="15" xfId="0" applyFont="1" applyFill="1" applyBorder="1" applyAlignment="1">
      <alignment horizontal="left" vertical="center" wrapText="1"/>
    </xf>
    <xf numFmtId="0" fontId="25" fillId="3" borderId="15" xfId="0" applyFont="1" applyFill="1" applyBorder="1" applyAlignment="1">
      <alignment horizontal="left" vertical="center" wrapText="1"/>
    </xf>
    <xf numFmtId="0" fontId="25" fillId="3" borderId="20" xfId="0" applyFont="1" applyFill="1" applyBorder="1" applyAlignment="1">
      <alignment horizontal="left" vertical="center" wrapText="1"/>
    </xf>
    <xf numFmtId="0" fontId="29" fillId="0" borderId="0" xfId="0" applyFont="1"/>
    <xf numFmtId="0" fontId="29" fillId="3" borderId="2" xfId="0" applyFont="1" applyFill="1" applyBorder="1"/>
    <xf numFmtId="0" fontId="29" fillId="3" borderId="0" xfId="0" applyFont="1" applyFill="1"/>
    <xf numFmtId="0" fontId="31" fillId="3" borderId="0" xfId="0" applyFont="1" applyFill="1" applyAlignment="1">
      <alignment vertical="top" wrapText="1"/>
    </xf>
    <xf numFmtId="0" fontId="34" fillId="3" borderId="3" xfId="0" applyFont="1" applyFill="1" applyBorder="1" applyAlignment="1">
      <alignment vertical="center" wrapText="1"/>
    </xf>
    <xf numFmtId="0" fontId="35" fillId="3" borderId="0" xfId="0" applyFont="1" applyFill="1" applyAlignment="1">
      <alignment horizontal="left" vertical="top" wrapText="1"/>
    </xf>
    <xf numFmtId="0" fontId="29" fillId="3" borderId="3" xfId="0" applyFont="1" applyFill="1" applyBorder="1"/>
    <xf numFmtId="0" fontId="29" fillId="3" borderId="22" xfId="0" applyFont="1" applyFill="1" applyBorder="1"/>
    <xf numFmtId="0" fontId="29" fillId="3" borderId="1" xfId="0" applyFont="1" applyFill="1" applyBorder="1"/>
    <xf numFmtId="0" fontId="29" fillId="3" borderId="23" xfId="0" applyFont="1" applyFill="1" applyBorder="1"/>
    <xf numFmtId="0" fontId="27" fillId="3" borderId="7" xfId="0" applyFont="1" applyFill="1" applyBorder="1" applyAlignment="1">
      <alignment wrapText="1"/>
    </xf>
    <xf numFmtId="0" fontId="0" fillId="3" borderId="8" xfId="0" applyFill="1" applyBorder="1" applyAlignment="1">
      <alignment wrapText="1"/>
    </xf>
    <xf numFmtId="0" fontId="0" fillId="3" borderId="9" xfId="0" applyFill="1" applyBorder="1" applyAlignment="1">
      <alignment wrapText="1"/>
    </xf>
    <xf numFmtId="0" fontId="0" fillId="3" borderId="2" xfId="0" applyFill="1" applyBorder="1" applyAlignment="1">
      <alignment wrapText="1"/>
    </xf>
    <xf numFmtId="0" fontId="0" fillId="3" borderId="3" xfId="0" applyFill="1" applyBorder="1" applyAlignment="1">
      <alignment wrapText="1"/>
    </xf>
    <xf numFmtId="0" fontId="36" fillId="3" borderId="2" xfId="0" applyFont="1" applyFill="1" applyBorder="1" applyAlignment="1">
      <alignment wrapText="1"/>
    </xf>
    <xf numFmtId="0" fontId="36" fillId="3" borderId="3" xfId="0" applyFont="1" applyFill="1" applyBorder="1" applyAlignment="1">
      <alignment wrapText="1"/>
    </xf>
    <xf numFmtId="0" fontId="1" fillId="0" borderId="0" xfId="0" applyFont="1"/>
    <xf numFmtId="0" fontId="0" fillId="3" borderId="2" xfId="0" applyFill="1" applyBorder="1"/>
    <xf numFmtId="0" fontId="39" fillId="3" borderId="3" xfId="0" applyFont="1" applyFill="1" applyBorder="1" applyAlignment="1">
      <alignment horizontal="center" vertical="center" wrapText="1"/>
    </xf>
    <xf numFmtId="0" fontId="11" fillId="3" borderId="3" xfId="0" applyFont="1" applyFill="1" applyBorder="1" applyAlignment="1">
      <alignment horizontal="center"/>
    </xf>
    <xf numFmtId="0" fontId="42" fillId="11" borderId="13" xfId="0" applyFont="1" applyFill="1" applyBorder="1" applyAlignment="1" applyProtection="1">
      <alignment horizontal="center"/>
      <protection locked="0"/>
    </xf>
    <xf numFmtId="0" fontId="43" fillId="3" borderId="3" xfId="0" applyFont="1" applyFill="1" applyBorder="1" applyAlignment="1" applyProtection="1">
      <alignment horizontal="center"/>
      <protection locked="0"/>
    </xf>
    <xf numFmtId="0" fontId="44" fillId="3" borderId="3" xfId="0" applyFont="1" applyFill="1" applyBorder="1" applyAlignment="1">
      <alignment horizontal="center"/>
    </xf>
    <xf numFmtId="0" fontId="46" fillId="11" borderId="13" xfId="0" applyFont="1" applyFill="1" applyBorder="1" applyAlignment="1" applyProtection="1">
      <alignment horizontal="center"/>
      <protection locked="0"/>
    </xf>
    <xf numFmtId="4" fontId="47" fillId="3" borderId="3" xfId="0" applyNumberFormat="1" applyFont="1" applyFill="1" applyBorder="1" applyAlignment="1">
      <alignment horizontal="center"/>
    </xf>
    <xf numFmtId="0" fontId="0" fillId="3" borderId="3" xfId="0" applyFill="1" applyBorder="1"/>
    <xf numFmtId="0" fontId="3" fillId="3" borderId="3" xfId="0" applyFont="1" applyFill="1" applyBorder="1"/>
    <xf numFmtId="165" fontId="47" fillId="3" borderId="3" xfId="0" applyNumberFormat="1" applyFont="1" applyFill="1" applyBorder="1" applyAlignment="1">
      <alignment horizontal="center"/>
    </xf>
    <xf numFmtId="3" fontId="47" fillId="3" borderId="3" xfId="0" applyNumberFormat="1" applyFont="1" applyFill="1" applyBorder="1" applyAlignment="1">
      <alignment horizontal="center"/>
    </xf>
    <xf numFmtId="0" fontId="49" fillId="3" borderId="3" xfId="0" quotePrefix="1" applyFont="1" applyFill="1" applyBorder="1" applyAlignment="1">
      <alignment horizontal="center"/>
    </xf>
    <xf numFmtId="3" fontId="47" fillId="3" borderId="17" xfId="0" applyNumberFormat="1" applyFont="1" applyFill="1" applyBorder="1" applyAlignment="1">
      <alignment horizontal="center"/>
    </xf>
    <xf numFmtId="0" fontId="11" fillId="3" borderId="3" xfId="0" applyFont="1" applyFill="1" applyBorder="1" applyAlignment="1">
      <alignment horizontal="left"/>
    </xf>
    <xf numFmtId="9" fontId="42" fillId="11" borderId="13" xfId="0" applyNumberFormat="1" applyFont="1" applyFill="1" applyBorder="1" applyAlignment="1" applyProtection="1">
      <alignment horizontal="center" vertical="center"/>
      <protection locked="0"/>
    </xf>
    <xf numFmtId="9" fontId="42" fillId="3" borderId="3" xfId="0" applyNumberFormat="1" applyFont="1" applyFill="1" applyBorder="1" applyAlignment="1">
      <alignment horizontal="center" vertical="center"/>
    </xf>
    <xf numFmtId="165" fontId="51" fillId="2" borderId="13" xfId="0" applyNumberFormat="1" applyFont="1" applyFill="1" applyBorder="1" applyAlignment="1" applyProtection="1">
      <alignment horizontal="center" vertical="center"/>
      <protection locked="0"/>
    </xf>
    <xf numFmtId="165" fontId="51" fillId="3" borderId="3" xfId="0" applyNumberFormat="1" applyFont="1" applyFill="1" applyBorder="1" applyAlignment="1">
      <alignment horizontal="center" vertical="center"/>
    </xf>
    <xf numFmtId="3" fontId="51" fillId="2" borderId="13" xfId="0" applyNumberFormat="1" applyFont="1" applyFill="1" applyBorder="1" applyAlignment="1" applyProtection="1">
      <alignment horizontal="center" vertical="center"/>
      <protection locked="0"/>
    </xf>
    <xf numFmtId="3" fontId="51" fillId="3" borderId="3" xfId="0" applyNumberFormat="1" applyFont="1" applyFill="1" applyBorder="1" applyAlignment="1">
      <alignment horizontal="center" vertical="center"/>
    </xf>
    <xf numFmtId="0" fontId="47" fillId="3" borderId="3" xfId="0" applyFont="1" applyFill="1" applyBorder="1"/>
    <xf numFmtId="0" fontId="47" fillId="3" borderId="30" xfId="0" applyFont="1" applyFill="1" applyBorder="1" applyAlignment="1">
      <alignment horizontal="center"/>
    </xf>
    <xf numFmtId="0" fontId="52" fillId="3" borderId="3" xfId="0" applyFont="1" applyFill="1" applyBorder="1"/>
    <xf numFmtId="165" fontId="53" fillId="3" borderId="3" xfId="0" applyNumberFormat="1" applyFont="1" applyFill="1" applyBorder="1" applyAlignment="1">
      <alignment horizontal="center"/>
    </xf>
    <xf numFmtId="0" fontId="53" fillId="3" borderId="3" xfId="0" applyFont="1" applyFill="1" applyBorder="1" applyAlignment="1">
      <alignment horizontal="center"/>
    </xf>
    <xf numFmtId="0" fontId="52" fillId="3" borderId="3" xfId="0" applyFont="1" applyFill="1" applyBorder="1" applyAlignment="1">
      <alignment horizontal="center"/>
    </xf>
    <xf numFmtId="0" fontId="0" fillId="3" borderId="22" xfId="0" applyFill="1" applyBorder="1"/>
    <xf numFmtId="0" fontId="0" fillId="3" borderId="1" xfId="0" applyFill="1" applyBorder="1"/>
    <xf numFmtId="0" fontId="0" fillId="3" borderId="23" xfId="0" applyFill="1" applyBorder="1"/>
    <xf numFmtId="0" fontId="3" fillId="3" borderId="2" xfId="0" applyFont="1" applyFill="1" applyBorder="1"/>
    <xf numFmtId="0" fontId="0" fillId="3" borderId="0" xfId="0" applyFill="1"/>
    <xf numFmtId="3" fontId="47" fillId="3" borderId="0" xfId="0" applyNumberFormat="1" applyFont="1" applyFill="1" applyAlignment="1">
      <alignment horizontal="center"/>
    </xf>
    <xf numFmtId="0" fontId="47" fillId="3" borderId="0" xfId="0" applyFont="1" applyFill="1"/>
    <xf numFmtId="0" fontId="49" fillId="3" borderId="0" xfId="0" quotePrefix="1" applyFont="1" applyFill="1" applyAlignment="1">
      <alignment horizontal="center"/>
    </xf>
    <xf numFmtId="0" fontId="11" fillId="3" borderId="0" xfId="0" applyFont="1" applyFill="1" applyAlignment="1">
      <alignment horizontal="center"/>
    </xf>
    <xf numFmtId="0" fontId="41" fillId="3" borderId="0" xfId="0" applyFont="1" applyFill="1" applyAlignment="1">
      <alignment horizontal="right"/>
    </xf>
    <xf numFmtId="0" fontId="4" fillId="3" borderId="0" xfId="0" applyFont="1" applyFill="1" applyAlignment="1">
      <alignment horizontal="right"/>
    </xf>
    <xf numFmtId="0" fontId="3" fillId="3" borderId="0" xfId="0" applyFont="1" applyFill="1"/>
    <xf numFmtId="0" fontId="44" fillId="3" borderId="0" xfId="0" applyFont="1" applyFill="1" applyAlignment="1">
      <alignment horizontal="center"/>
    </xf>
    <xf numFmtId="0" fontId="40" fillId="3" borderId="0" xfId="0" applyFont="1" applyFill="1" applyAlignment="1">
      <alignment horizontal="left" vertical="top"/>
    </xf>
    <xf numFmtId="0" fontId="47" fillId="3" borderId="0" xfId="0" applyFont="1" applyFill="1" applyAlignment="1">
      <alignment horizontal="center"/>
    </xf>
    <xf numFmtId="0" fontId="11" fillId="3" borderId="0" xfId="0" applyFont="1" applyFill="1" applyAlignment="1">
      <alignment horizontal="left"/>
    </xf>
    <xf numFmtId="0" fontId="52" fillId="3" borderId="0" xfId="0" applyFont="1" applyFill="1"/>
    <xf numFmtId="0" fontId="4" fillId="3" borderId="0" xfId="0" applyFont="1" applyFill="1"/>
    <xf numFmtId="0" fontId="51" fillId="3" borderId="0" xfId="0" applyFont="1" applyFill="1"/>
    <xf numFmtId="0" fontId="52" fillId="3" borderId="0" xfId="0" applyFont="1" applyFill="1" applyAlignment="1">
      <alignment horizontal="center"/>
    </xf>
    <xf numFmtId="165" fontId="49" fillId="3" borderId="3" xfId="0" applyNumberFormat="1" applyFont="1" applyFill="1" applyBorder="1" applyAlignment="1">
      <alignment horizontal="center"/>
    </xf>
    <xf numFmtId="165" fontId="14" fillId="3" borderId="3" xfId="0" applyNumberFormat="1" applyFont="1" applyFill="1" applyBorder="1" applyAlignment="1">
      <alignment horizontal="center"/>
    </xf>
    <xf numFmtId="0" fontId="38" fillId="3" borderId="0" xfId="0" applyFont="1" applyFill="1" applyAlignment="1">
      <alignment horizontal="center"/>
    </xf>
    <xf numFmtId="0" fontId="38" fillId="3" borderId="3" xfId="0" applyFont="1" applyFill="1" applyBorder="1" applyAlignment="1">
      <alignment horizontal="center"/>
    </xf>
    <xf numFmtId="0" fontId="44" fillId="3" borderId="0" xfId="0" applyFont="1" applyFill="1"/>
    <xf numFmtId="0" fontId="3" fillId="3" borderId="1" xfId="0" applyFont="1" applyFill="1" applyBorder="1"/>
    <xf numFmtId="0" fontId="3" fillId="3" borderId="23" xfId="0" applyFont="1" applyFill="1" applyBorder="1"/>
    <xf numFmtId="0" fontId="55" fillId="3" borderId="0" xfId="0" applyFont="1" applyFill="1" applyAlignment="1">
      <alignment horizontal="right" vertical="center" wrapText="1"/>
    </xf>
    <xf numFmtId="165" fontId="54" fillId="3" borderId="0" xfId="0" applyNumberFormat="1" applyFont="1" applyFill="1" applyAlignment="1">
      <alignment horizontal="center" vertical="center" wrapText="1"/>
    </xf>
    <xf numFmtId="0" fontId="48" fillId="3" borderId="0" xfId="0" applyFont="1" applyFill="1" applyAlignment="1">
      <alignment horizontal="left"/>
    </xf>
    <xf numFmtId="0" fontId="40" fillId="3" borderId="0" xfId="0" applyFont="1" applyFill="1" applyAlignment="1">
      <alignment horizontal="left"/>
    </xf>
    <xf numFmtId="4" fontId="18" fillId="3" borderId="0" xfId="0" applyNumberFormat="1" applyFont="1" applyFill="1" applyAlignment="1">
      <alignment horizontal="center"/>
    </xf>
    <xf numFmtId="0" fontId="56" fillId="3" borderId="0" xfId="0" applyFont="1" applyFill="1" applyAlignment="1">
      <alignment horizontal="center"/>
    </xf>
    <xf numFmtId="0" fontId="56" fillId="3" borderId="3" xfId="0" applyFont="1" applyFill="1" applyBorder="1" applyAlignment="1">
      <alignment horizontal="center"/>
    </xf>
    <xf numFmtId="0" fontId="46" fillId="3" borderId="0" xfId="0" applyFont="1" applyFill="1" applyAlignment="1" applyProtection="1">
      <alignment horizontal="center"/>
      <protection locked="0"/>
    </xf>
    <xf numFmtId="2" fontId="5" fillId="3" borderId="0" xfId="0" applyNumberFormat="1" applyFont="1" applyFill="1" applyAlignment="1">
      <alignment horizontal="center"/>
    </xf>
    <xf numFmtId="165" fontId="49" fillId="10" borderId="13" xfId="0" applyNumberFormat="1" applyFont="1" applyFill="1" applyBorder="1" applyAlignment="1">
      <alignment horizontal="center"/>
    </xf>
    <xf numFmtId="0" fontId="4" fillId="10" borderId="13" xfId="0" applyFont="1" applyFill="1" applyBorder="1" applyAlignment="1">
      <alignment horizontal="center"/>
    </xf>
    <xf numFmtId="2" fontId="4" fillId="10" borderId="13" xfId="0" applyNumberFormat="1" applyFont="1" applyFill="1" applyBorder="1" applyAlignment="1">
      <alignment horizontal="center"/>
    </xf>
    <xf numFmtId="3" fontId="49" fillId="10" borderId="13" xfId="0" applyNumberFormat="1" applyFont="1" applyFill="1" applyBorder="1" applyAlignment="1">
      <alignment horizontal="center"/>
    </xf>
    <xf numFmtId="0" fontId="49" fillId="10" borderId="13" xfId="0" applyFont="1" applyFill="1" applyBorder="1" applyAlignment="1">
      <alignment horizontal="center"/>
    </xf>
    <xf numFmtId="4" fontId="40" fillId="10" borderId="13" xfId="0" applyNumberFormat="1" applyFont="1" applyFill="1" applyBorder="1" applyAlignment="1">
      <alignment horizontal="center"/>
    </xf>
    <xf numFmtId="0" fontId="27" fillId="3" borderId="7" xfId="0" applyFont="1" applyFill="1" applyBorder="1" applyAlignment="1">
      <alignment horizontal="left"/>
    </xf>
    <xf numFmtId="0" fontId="0" fillId="3" borderId="8" xfId="0" applyFill="1" applyBorder="1" applyAlignment="1">
      <alignment horizontal="left"/>
    </xf>
    <xf numFmtId="0" fontId="0" fillId="3" borderId="9" xfId="0" applyFill="1" applyBorder="1" applyAlignment="1">
      <alignment horizontal="left"/>
    </xf>
    <xf numFmtId="0" fontId="0" fillId="3" borderId="2" xfId="0" applyFill="1" applyBorder="1" applyAlignment="1">
      <alignment horizontal="left"/>
    </xf>
    <xf numFmtId="0" fontId="0" fillId="3" borderId="0" xfId="0" applyFill="1" applyAlignment="1">
      <alignment horizontal="left"/>
    </xf>
    <xf numFmtId="0" fontId="0" fillId="3" borderId="3" xfId="0" applyFill="1" applyBorder="1" applyAlignment="1">
      <alignment horizontal="left"/>
    </xf>
    <xf numFmtId="0" fontId="0" fillId="3" borderId="0" xfId="0" applyFill="1" applyAlignment="1">
      <alignment wrapText="1"/>
    </xf>
    <xf numFmtId="0" fontId="36" fillId="3" borderId="0" xfId="0" applyFont="1" applyFill="1" applyAlignment="1">
      <alignment wrapText="1"/>
    </xf>
    <xf numFmtId="0" fontId="57" fillId="0" borderId="0" xfId="0" applyFont="1"/>
    <xf numFmtId="0" fontId="31" fillId="4" borderId="7" xfId="0" applyFont="1" applyFill="1" applyBorder="1" applyAlignment="1">
      <alignment horizontal="left" vertical="top" wrapText="1"/>
    </xf>
    <xf numFmtId="0" fontId="31" fillId="4" borderId="8" xfId="0" applyFont="1" applyFill="1" applyBorder="1" applyAlignment="1">
      <alignment horizontal="left" vertical="top" wrapText="1"/>
    </xf>
    <xf numFmtId="0" fontId="31" fillId="4" borderId="9" xfId="0" applyFont="1" applyFill="1" applyBorder="1" applyAlignment="1">
      <alignment horizontal="left" vertical="top" wrapText="1"/>
    </xf>
    <xf numFmtId="0" fontId="31" fillId="4" borderId="2" xfId="0" applyFont="1" applyFill="1" applyBorder="1" applyAlignment="1">
      <alignment horizontal="left" vertical="top" wrapText="1"/>
    </xf>
    <xf numFmtId="0" fontId="31" fillId="4" borderId="0" xfId="0" applyFont="1" applyFill="1" applyAlignment="1">
      <alignment horizontal="left" vertical="top" wrapText="1"/>
    </xf>
    <xf numFmtId="0" fontId="31" fillId="4" borderId="3" xfId="0" applyFont="1" applyFill="1" applyBorder="1" applyAlignment="1">
      <alignment horizontal="left" vertical="top" wrapText="1"/>
    </xf>
    <xf numFmtId="0" fontId="31" fillId="4" borderId="22" xfId="0" applyFont="1" applyFill="1" applyBorder="1" applyAlignment="1">
      <alignment horizontal="left" vertical="top" wrapText="1"/>
    </xf>
    <xf numFmtId="0" fontId="31" fillId="4" borderId="1" xfId="0" applyFont="1" applyFill="1" applyBorder="1" applyAlignment="1">
      <alignment horizontal="left" vertical="top" wrapText="1"/>
    </xf>
    <xf numFmtId="0" fontId="31" fillId="4" borderId="23" xfId="0" applyFont="1" applyFill="1" applyBorder="1" applyAlignment="1">
      <alignment horizontal="left" vertical="top" wrapText="1"/>
    </xf>
    <xf numFmtId="0" fontId="11" fillId="8" borderId="7" xfId="0" applyFont="1" applyFill="1" applyBorder="1" applyAlignment="1">
      <alignment horizontal="center" vertical="top" wrapText="1"/>
    </xf>
    <xf numFmtId="0" fontId="11" fillId="8" borderId="9" xfId="0" applyFont="1" applyFill="1" applyBorder="1" applyAlignment="1">
      <alignment horizontal="center" vertical="top" wrapText="1"/>
    </xf>
    <xf numFmtId="0" fontId="0" fillId="8" borderId="22" xfId="0" applyFill="1" applyBorder="1" applyAlignment="1">
      <alignment horizontal="center" vertical="top" wrapText="1"/>
    </xf>
    <xf numFmtId="0" fontId="0" fillId="8" borderId="23" xfId="0" applyFill="1" applyBorder="1" applyAlignment="1">
      <alignment horizontal="center" vertical="top" wrapText="1"/>
    </xf>
    <xf numFmtId="0" fontId="30" fillId="3" borderId="2" xfId="0" applyFont="1" applyFill="1" applyBorder="1" applyAlignment="1">
      <alignment horizontal="left" wrapText="1"/>
    </xf>
    <xf numFmtId="0" fontId="30" fillId="3" borderId="0" xfId="0" applyFont="1" applyFill="1" applyAlignment="1">
      <alignment horizontal="left" wrapText="1"/>
    </xf>
    <xf numFmtId="0" fontId="30" fillId="3" borderId="3" xfId="0" applyFont="1" applyFill="1" applyBorder="1" applyAlignment="1">
      <alignment horizontal="left" wrapText="1"/>
    </xf>
    <xf numFmtId="0" fontId="13" fillId="3" borderId="2" xfId="0" applyFont="1" applyFill="1" applyBorder="1" applyAlignment="1">
      <alignment horizontal="left" vertical="top" wrapText="1"/>
    </xf>
    <xf numFmtId="0" fontId="13" fillId="0" borderId="0" xfId="0" applyFont="1" applyAlignment="1">
      <alignment horizontal="left" vertical="top" wrapText="1"/>
    </xf>
    <xf numFmtId="0" fontId="13" fillId="0" borderId="3" xfId="0" applyFont="1" applyBorder="1" applyAlignment="1">
      <alignment horizontal="left" vertical="top" wrapText="1"/>
    </xf>
    <xf numFmtId="0" fontId="13" fillId="0" borderId="2" xfId="0" applyFont="1" applyBorder="1" applyAlignment="1">
      <alignment horizontal="left" vertical="top" wrapText="1"/>
    </xf>
    <xf numFmtId="0" fontId="0" fillId="0" borderId="2" xfId="0" applyBorder="1" applyAlignment="1">
      <alignment horizontal="left" vertical="top" wrapText="1"/>
    </xf>
    <xf numFmtId="0" fontId="0" fillId="0" borderId="0" xfId="0" applyAlignment="1">
      <alignment horizontal="left" vertical="top" wrapText="1"/>
    </xf>
    <xf numFmtId="0" fontId="0" fillId="0" borderId="3" xfId="0" applyBorder="1" applyAlignment="1">
      <alignment horizontal="left" vertical="top" wrapText="1"/>
    </xf>
    <xf numFmtId="0" fontId="28" fillId="3" borderId="2" xfId="0" applyFont="1" applyFill="1" applyBorder="1" applyAlignment="1">
      <alignment horizontal="center" wrapText="1"/>
    </xf>
    <xf numFmtId="0" fontId="28" fillId="3" borderId="0" xfId="0" applyFont="1" applyFill="1" applyAlignment="1">
      <alignment horizontal="center" wrapText="1"/>
    </xf>
    <xf numFmtId="0" fontId="28" fillId="3" borderId="3" xfId="0" applyFont="1" applyFill="1" applyBorder="1" applyAlignment="1">
      <alignment horizontal="center" wrapText="1"/>
    </xf>
    <xf numFmtId="0" fontId="27" fillId="3" borderId="2" xfId="0" applyFont="1" applyFill="1" applyBorder="1" applyAlignment="1">
      <alignment horizontal="left" vertical="top" wrapText="1"/>
    </xf>
    <xf numFmtId="0" fontId="27" fillId="3" borderId="0" xfId="0" applyFont="1" applyFill="1" applyAlignment="1">
      <alignment horizontal="left" vertical="top" wrapText="1"/>
    </xf>
    <xf numFmtId="0" fontId="27" fillId="3" borderId="3" xfId="0" applyFont="1" applyFill="1" applyBorder="1" applyAlignment="1">
      <alignment horizontal="left" vertical="top" wrapText="1"/>
    </xf>
    <xf numFmtId="0" fontId="27" fillId="3" borderId="22" xfId="0" applyFont="1" applyFill="1" applyBorder="1" applyAlignment="1">
      <alignment horizontal="left" vertical="top" wrapText="1"/>
    </xf>
    <xf numFmtId="0" fontId="27" fillId="3" borderId="1" xfId="0" applyFont="1" applyFill="1" applyBorder="1" applyAlignment="1">
      <alignment horizontal="left" vertical="top" wrapText="1"/>
    </xf>
    <xf numFmtId="0" fontId="27" fillId="3" borderId="23" xfId="0" applyFont="1" applyFill="1" applyBorder="1" applyAlignment="1">
      <alignment horizontal="left" vertical="top" wrapText="1"/>
    </xf>
    <xf numFmtId="0" fontId="7" fillId="0" borderId="0" xfId="0" applyFont="1" applyAlignment="1">
      <alignment horizontal="left"/>
    </xf>
    <xf numFmtId="0" fontId="37" fillId="3" borderId="8" xfId="0" applyFont="1" applyFill="1" applyBorder="1" applyAlignment="1">
      <alignment horizontal="left" vertical="top" wrapText="1"/>
    </xf>
    <xf numFmtId="0" fontId="37" fillId="4" borderId="8" xfId="0" applyFont="1" applyFill="1" applyBorder="1" applyAlignment="1">
      <alignment horizontal="left" vertical="top" wrapText="1"/>
    </xf>
    <xf numFmtId="0" fontId="0" fillId="0" borderId="1" xfId="0" applyBorder="1" applyAlignment="1">
      <alignment horizontal="left" vertical="top" wrapText="1"/>
    </xf>
    <xf numFmtId="0" fontId="37" fillId="3" borderId="8" xfId="0" applyFont="1" applyFill="1" applyBorder="1" applyAlignment="1">
      <alignment horizontal="left" vertical="center"/>
    </xf>
    <xf numFmtId="0" fontId="0" fillId="0" borderId="0" xfId="0" applyAlignment="1">
      <alignment horizontal="left" vertical="center"/>
    </xf>
    <xf numFmtId="0" fontId="0" fillId="0" borderId="1" xfId="0" applyBorder="1" applyAlignment="1">
      <alignment horizontal="left" vertical="center"/>
    </xf>
    <xf numFmtId="0" fontId="37" fillId="0" borderId="8" xfId="0" applyFont="1" applyBorder="1" applyAlignment="1">
      <alignment horizontal="left" vertical="top" wrapText="1"/>
    </xf>
    <xf numFmtId="0" fontId="37" fillId="0" borderId="0" xfId="0" applyFont="1" applyAlignment="1">
      <alignment horizontal="left" vertical="top" wrapText="1"/>
    </xf>
    <xf numFmtId="0" fontId="37" fillId="0" borderId="1" xfId="0" applyFont="1" applyBorder="1" applyAlignment="1">
      <alignment horizontal="left" vertical="top" wrapText="1"/>
    </xf>
    <xf numFmtId="0" fontId="37" fillId="4" borderId="8" xfId="0" applyFont="1" applyFill="1" applyBorder="1" applyAlignment="1">
      <alignment horizontal="left" vertical="center"/>
    </xf>
    <xf numFmtId="0" fontId="1" fillId="4" borderId="0" xfId="0" applyFont="1" applyFill="1" applyAlignment="1">
      <alignment horizontal="left" vertical="center"/>
    </xf>
    <xf numFmtId="0" fontId="0" fillId="4" borderId="0" xfId="0" applyFill="1" applyAlignment="1">
      <alignment horizontal="left" vertical="center"/>
    </xf>
    <xf numFmtId="0" fontId="0" fillId="4" borderId="1" xfId="0" applyFill="1" applyBorder="1" applyAlignment="1">
      <alignment horizontal="left" vertical="center"/>
    </xf>
    <xf numFmtId="0" fontId="1" fillId="3" borderId="0" xfId="0" applyFont="1" applyFill="1" applyAlignment="1">
      <alignment horizontal="left" vertical="center"/>
    </xf>
    <xf numFmtId="0" fontId="4" fillId="3" borderId="0" xfId="0" applyFont="1" applyFill="1" applyAlignment="1">
      <alignment horizontal="right"/>
    </xf>
    <xf numFmtId="0" fontId="39" fillId="3" borderId="0" xfId="0" applyFont="1" applyFill="1" applyAlignment="1">
      <alignment horizontal="center" vertical="center" wrapText="1"/>
    </xf>
    <xf numFmtId="0" fontId="40" fillId="8" borderId="24" xfId="0" applyFont="1" applyFill="1" applyBorder="1" applyAlignment="1">
      <alignment horizontal="left" vertical="justify" wrapText="1"/>
    </xf>
    <xf numFmtId="0" fontId="40" fillId="8" borderId="17" xfId="0" applyFont="1" applyFill="1" applyBorder="1" applyAlignment="1">
      <alignment horizontal="left" vertical="justify" wrapText="1"/>
    </xf>
    <xf numFmtId="0" fontId="40" fillId="8" borderId="25" xfId="0" applyFont="1" applyFill="1" applyBorder="1" applyAlignment="1">
      <alignment horizontal="left" vertical="justify" wrapText="1"/>
    </xf>
    <xf numFmtId="0" fontId="40" fillId="8" borderId="26" xfId="0" applyFont="1" applyFill="1" applyBorder="1" applyAlignment="1">
      <alignment horizontal="left" vertical="justify" wrapText="1"/>
    </xf>
    <xf numFmtId="0" fontId="40" fillId="8" borderId="0" xfId="0" applyFont="1" applyFill="1" applyAlignment="1">
      <alignment horizontal="left" vertical="justify" wrapText="1"/>
    </xf>
    <xf numFmtId="0" fontId="40" fillId="8" borderId="27" xfId="0" applyFont="1" applyFill="1" applyBorder="1" applyAlignment="1">
      <alignment horizontal="left" vertical="justify" wrapText="1"/>
    </xf>
    <xf numFmtId="0" fontId="40" fillId="8" borderId="28" xfId="0" applyFont="1" applyFill="1" applyBorder="1" applyAlignment="1">
      <alignment horizontal="left" vertical="justify" wrapText="1"/>
    </xf>
    <xf numFmtId="0" fontId="40" fillId="8" borderId="21" xfId="0" applyFont="1" applyFill="1" applyBorder="1" applyAlignment="1">
      <alignment horizontal="left" vertical="justify" wrapText="1"/>
    </xf>
    <xf numFmtId="0" fontId="40" fillId="8" borderId="29" xfId="0" applyFont="1" applyFill="1" applyBorder="1" applyAlignment="1">
      <alignment horizontal="left" vertical="justify" wrapText="1"/>
    </xf>
    <xf numFmtId="0" fontId="40" fillId="3" borderId="17" xfId="0" applyFont="1" applyFill="1" applyBorder="1" applyAlignment="1">
      <alignment horizontal="left"/>
    </xf>
    <xf numFmtId="0" fontId="48" fillId="9" borderId="4" xfId="0" applyFont="1" applyFill="1" applyBorder="1" applyAlignment="1">
      <alignment horizontal="left"/>
    </xf>
    <xf numFmtId="0" fontId="38" fillId="9" borderId="5" xfId="0" applyFont="1" applyFill="1" applyBorder="1" applyAlignment="1">
      <alignment horizontal="center"/>
    </xf>
    <xf numFmtId="0" fontId="38" fillId="9" borderId="4" xfId="0" applyFont="1" applyFill="1" applyBorder="1" applyAlignment="1">
      <alignment horizontal="center"/>
    </xf>
    <xf numFmtId="0" fontId="38" fillId="9" borderId="6" xfId="0" applyFont="1" applyFill="1" applyBorder="1" applyAlignment="1">
      <alignment horizontal="center"/>
    </xf>
    <xf numFmtId="0" fontId="55" fillId="3" borderId="0" xfId="0" applyFont="1" applyFill="1" applyAlignment="1">
      <alignment horizontal="right" vertical="center"/>
    </xf>
    <xf numFmtId="0" fontId="55" fillId="0" borderId="0" xfId="0" applyFont="1" applyAlignment="1">
      <alignment horizontal="right" vertical="center"/>
    </xf>
    <xf numFmtId="165" fontId="54" fillId="3" borderId="0" xfId="0" applyNumberFormat="1" applyFont="1" applyFill="1" applyAlignment="1">
      <alignment horizontal="center" vertical="center"/>
    </xf>
    <xf numFmtId="165" fontId="54" fillId="0" borderId="0" xfId="0" applyNumberFormat="1" applyFont="1" applyAlignment="1">
      <alignment horizontal="center" vertical="center"/>
    </xf>
    <xf numFmtId="165" fontId="49" fillId="10" borderId="18" xfId="0" applyNumberFormat="1" applyFont="1" applyFill="1" applyBorder="1" applyAlignment="1">
      <alignment horizontal="center"/>
    </xf>
    <xf numFmtId="165" fontId="49" fillId="10" borderId="15" xfId="0" applyNumberFormat="1" applyFont="1" applyFill="1" applyBorder="1" applyAlignment="1">
      <alignment horizontal="center"/>
    </xf>
    <xf numFmtId="165" fontId="49" fillId="10" borderId="31" xfId="0" applyNumberFormat="1" applyFont="1" applyFill="1" applyBorder="1" applyAlignment="1">
      <alignment horizontal="center"/>
    </xf>
    <xf numFmtId="0" fontId="55" fillId="3" borderId="0" xfId="0" applyFont="1" applyFill="1" applyAlignment="1">
      <alignment horizontal="right" vertical="center" wrapText="1"/>
    </xf>
    <xf numFmtId="0" fontId="55" fillId="0" borderId="0" xfId="0" applyFont="1" applyAlignment="1">
      <alignment horizontal="right" vertical="center" wrapText="1"/>
    </xf>
    <xf numFmtId="165" fontId="54" fillId="3" borderId="0" xfId="0" applyNumberFormat="1" applyFont="1" applyFill="1" applyAlignment="1">
      <alignment horizontal="center" vertical="center" wrapText="1"/>
    </xf>
    <xf numFmtId="165" fontId="54" fillId="0" borderId="0" xfId="0" applyNumberFormat="1" applyFont="1" applyAlignment="1">
      <alignment horizontal="center" vertical="center" wrapText="1"/>
    </xf>
    <xf numFmtId="0" fontId="2" fillId="0" borderId="1" xfId="0" applyFont="1" applyBorder="1" applyAlignment="1">
      <alignment horizontal="left"/>
    </xf>
    <xf numFmtId="0" fontId="4" fillId="3" borderId="4" xfId="0" applyFont="1" applyFill="1" applyBorder="1" applyAlignment="1">
      <alignment horizontal="left"/>
    </xf>
    <xf numFmtId="0" fontId="4" fillId="2" borderId="2" xfId="0" applyFont="1" applyFill="1" applyBorder="1" applyAlignment="1">
      <alignment horizontal="center"/>
    </xf>
    <xf numFmtId="0" fontId="4" fillId="2" borderId="0" xfId="0" applyFont="1" applyFill="1" applyAlignment="1">
      <alignment horizontal="center"/>
    </xf>
    <xf numFmtId="0" fontId="4" fillId="2" borderId="3" xfId="0" applyFont="1" applyFill="1" applyBorder="1" applyAlignment="1">
      <alignment horizontal="center"/>
    </xf>
    <xf numFmtId="0" fontId="7" fillId="0" borderId="1" xfId="0" applyFont="1" applyBorder="1" applyAlignment="1">
      <alignment horizontal="left"/>
    </xf>
    <xf numFmtId="0" fontId="3" fillId="3" borderId="4" xfId="0" applyFont="1" applyFill="1" applyBorder="1" applyAlignment="1">
      <alignment horizontal="left"/>
    </xf>
    <xf numFmtId="0" fontId="4" fillId="5" borderId="2" xfId="0" applyFont="1" applyFill="1" applyBorder="1" applyAlignment="1">
      <alignment horizontal="center"/>
    </xf>
    <xf numFmtId="0" fontId="4" fillId="5" borderId="0" xfId="0" applyFont="1" applyFill="1" applyAlignment="1">
      <alignment horizontal="center"/>
    </xf>
    <xf numFmtId="0" fontId="9" fillId="0" borderId="17" xfId="0" applyFont="1" applyBorder="1" applyAlignment="1">
      <alignment horizontal="left"/>
    </xf>
    <xf numFmtId="0" fontId="16" fillId="4" borderId="21" xfId="0" applyFont="1" applyFill="1" applyBorder="1" applyAlignment="1">
      <alignment horizontal="left"/>
    </xf>
    <xf numFmtId="0" fontId="14" fillId="3" borderId="8" xfId="0" applyFont="1" applyFill="1" applyBorder="1" applyAlignment="1">
      <alignment horizontal="left"/>
    </xf>
    <xf numFmtId="0" fontId="15" fillId="3" borderId="8" xfId="0" applyFont="1" applyFill="1" applyBorder="1" applyAlignment="1">
      <alignment horizontal="left"/>
    </xf>
    <xf numFmtId="0" fontId="16" fillId="3" borderId="0" xfId="0" applyFont="1" applyFill="1" applyAlignment="1">
      <alignment horizontal="left"/>
    </xf>
    <xf numFmtId="0" fontId="18" fillId="3" borderId="21" xfId="0" applyFont="1" applyFill="1" applyBorder="1" applyAlignment="1">
      <alignment horizontal="left"/>
    </xf>
    <xf numFmtId="0" fontId="14" fillId="4" borderId="17" xfId="0" applyFont="1" applyFill="1" applyBorder="1" applyAlignment="1">
      <alignment horizontal="left"/>
    </xf>
    <xf numFmtId="0" fontId="15" fillId="4" borderId="17" xfId="0" applyFont="1" applyFill="1" applyBorder="1" applyAlignment="1">
      <alignment horizontal="left"/>
    </xf>
    <xf numFmtId="0" fontId="14" fillId="3" borderId="17" xfId="0" applyFont="1" applyFill="1" applyBorder="1" applyAlignment="1">
      <alignment horizontal="left"/>
    </xf>
    <xf numFmtId="0" fontId="15" fillId="3" borderId="17" xfId="0" applyFont="1" applyFill="1" applyBorder="1" applyAlignment="1">
      <alignment horizontal="left"/>
    </xf>
    <xf numFmtId="0" fontId="18" fillId="3" borderId="0" xfId="0" applyFont="1" applyFill="1" applyAlignment="1">
      <alignment horizontal="left"/>
    </xf>
    <xf numFmtId="0" fontId="16" fillId="3" borderId="21" xfId="0" applyFont="1" applyFill="1" applyBorder="1" applyAlignment="1">
      <alignment horizontal="left"/>
    </xf>
    <xf numFmtId="0" fontId="20" fillId="4" borderId="21" xfId="0" applyFont="1" applyFill="1" applyBorder="1" applyAlignment="1">
      <alignment horizontal="left"/>
    </xf>
    <xf numFmtId="0" fontId="22" fillId="3" borderId="0" xfId="0" applyFont="1" applyFill="1" applyAlignment="1">
      <alignment horizontal="left"/>
    </xf>
    <xf numFmtId="0" fontId="16" fillId="4" borderId="0" xfId="0" applyFont="1" applyFill="1" applyAlignment="1">
      <alignment horizontal="left"/>
    </xf>
    <xf numFmtId="0" fontId="24" fillId="4" borderId="0" xfId="0" applyFont="1" applyFill="1" applyAlignment="1">
      <alignment horizontal="left"/>
    </xf>
    <xf numFmtId="0" fontId="18" fillId="4" borderId="0" xfId="0" applyFont="1" applyFill="1" applyAlignment="1">
      <alignment horizontal="left"/>
    </xf>
    <xf numFmtId="0" fontId="18" fillId="4" borderId="1" xfId="0" applyFont="1" applyFill="1" applyBorder="1" applyAlignment="1">
      <alignment horizontal="left"/>
    </xf>
    <xf numFmtId="0" fontId="25" fillId="3" borderId="15" xfId="0" applyFont="1" applyFill="1" applyBorder="1" applyAlignment="1">
      <alignment horizontal="left" vertical="center" wrapText="1"/>
    </xf>
    <xf numFmtId="0" fontId="26" fillId="3" borderId="15" xfId="0" applyFont="1" applyFill="1" applyBorder="1" applyAlignment="1">
      <alignment horizontal="left" vertical="center" wrapText="1"/>
    </xf>
    <xf numFmtId="0" fontId="13" fillId="3" borderId="15" xfId="0" applyFont="1" applyFill="1" applyBorder="1" applyAlignment="1">
      <alignment horizontal="left" vertical="center" wrapText="1"/>
    </xf>
    <xf numFmtId="0" fontId="0" fillId="3" borderId="15" xfId="0" applyFill="1" applyBorder="1" applyAlignment="1">
      <alignment horizontal="left" vertical="center" wrapText="1"/>
    </xf>
    <xf numFmtId="0" fontId="25" fillId="3" borderId="19" xfId="0" applyFont="1" applyFill="1" applyBorder="1" applyAlignment="1">
      <alignment horizontal="left" vertical="center" wrapText="1"/>
    </xf>
    <xf numFmtId="0" fontId="13" fillId="3" borderId="19" xfId="0" applyFont="1" applyFill="1" applyBorder="1" applyAlignment="1">
      <alignment horizontal="left" vertical="center" wrapText="1"/>
    </xf>
    <xf numFmtId="0" fontId="0" fillId="0" borderId="15" xfId="0" applyBorder="1" applyAlignment="1">
      <alignment horizontal="left" vertical="center" wrapText="1"/>
    </xf>
    <xf numFmtId="0" fontId="13" fillId="4" borderId="15" xfId="0" applyFont="1" applyFill="1" applyBorder="1" applyAlignment="1">
      <alignment horizontal="left" vertical="center" wrapText="1"/>
    </xf>
    <xf numFmtId="0" fontId="25" fillId="4" borderId="15" xfId="0" applyFont="1" applyFill="1" applyBorder="1" applyAlignment="1">
      <alignment horizontal="left" vertical="center" wrapText="1"/>
    </xf>
    <xf numFmtId="0" fontId="0" fillId="4" borderId="15" xfId="0" applyFill="1" applyBorder="1" applyAlignment="1">
      <alignment horizontal="left" vertical="center" wrapText="1"/>
    </xf>
    <xf numFmtId="0" fontId="26" fillId="4" borderId="15" xfId="0" applyFont="1" applyFill="1" applyBorder="1" applyAlignment="1">
      <alignment horizontal="left" vertical="center" wrapText="1"/>
    </xf>
    <xf numFmtId="0" fontId="13" fillId="3" borderId="20"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cid:image001.png@01DBB440.1943C520" TargetMode="External"/><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171449</xdr:colOff>
      <xdr:row>1</xdr:row>
      <xdr:rowOff>76201</xdr:rowOff>
    </xdr:from>
    <xdr:to>
      <xdr:col>10</xdr:col>
      <xdr:colOff>295274</xdr:colOff>
      <xdr:row>4</xdr:row>
      <xdr:rowOff>142876</xdr:rowOff>
    </xdr:to>
    <xdr:pic>
      <xdr:nvPicPr>
        <xdr:cNvPr id="2" name="Picture 1">
          <a:extLst>
            <a:ext uri="{FF2B5EF4-FFF2-40B4-BE49-F238E27FC236}">
              <a16:creationId xmlns:a16="http://schemas.microsoft.com/office/drawing/2014/main" id="{CA5E4274-6A05-48BB-B5FD-8A620D4C5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49" y="314326"/>
          <a:ext cx="6219825" cy="781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28575</xdr:colOff>
      <xdr:row>39</xdr:row>
      <xdr:rowOff>190500</xdr:rowOff>
    </xdr:from>
    <xdr:to>
      <xdr:col>6</xdr:col>
      <xdr:colOff>295275</xdr:colOff>
      <xdr:row>41</xdr:row>
      <xdr:rowOff>0</xdr:rowOff>
    </xdr:to>
    <xdr:pic>
      <xdr:nvPicPr>
        <xdr:cNvPr id="3" name="Picture 2">
          <a:extLst>
            <a:ext uri="{FF2B5EF4-FFF2-40B4-BE49-F238E27FC236}">
              <a16:creationId xmlns:a16="http://schemas.microsoft.com/office/drawing/2014/main" id="{EE17B9C9-F20B-47B8-B59B-5A2C94D9C53E}"/>
            </a:ext>
          </a:extLst>
        </xdr:cNvPr>
        <xdr:cNvPicPr>
          <a:picLocks noChangeAspect="1" noChangeArrowheads="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1247775" y="9020175"/>
          <a:ext cx="2705100"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171449</xdr:colOff>
      <xdr:row>1</xdr:row>
      <xdr:rowOff>76200</xdr:rowOff>
    </xdr:from>
    <xdr:to>
      <xdr:col>10</xdr:col>
      <xdr:colOff>295274</xdr:colOff>
      <xdr:row>5</xdr:row>
      <xdr:rowOff>112646</xdr:rowOff>
    </xdr:to>
    <xdr:pic>
      <xdr:nvPicPr>
        <xdr:cNvPr id="2" name="Picture 1">
          <a:extLst>
            <a:ext uri="{FF2B5EF4-FFF2-40B4-BE49-F238E27FC236}">
              <a16:creationId xmlns:a16="http://schemas.microsoft.com/office/drawing/2014/main" id="{94BCD800-6E06-4007-88CE-E7319BA69F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49" y="266700"/>
          <a:ext cx="6219825" cy="7984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57150</xdr:colOff>
      <xdr:row>1</xdr:row>
      <xdr:rowOff>142875</xdr:rowOff>
    </xdr:from>
    <xdr:to>
      <xdr:col>4</xdr:col>
      <xdr:colOff>304800</xdr:colOff>
      <xdr:row>3</xdr:row>
      <xdr:rowOff>28431</xdr:rowOff>
    </xdr:to>
    <xdr:pic>
      <xdr:nvPicPr>
        <xdr:cNvPr id="2" name="Picture 1">
          <a:extLst>
            <a:ext uri="{FF2B5EF4-FFF2-40B4-BE49-F238E27FC236}">
              <a16:creationId xmlns:a16="http://schemas.microsoft.com/office/drawing/2014/main" id="{6A83D14E-01E6-4209-A45E-0568082980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419100"/>
          <a:ext cx="2076450" cy="276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57150</xdr:colOff>
      <xdr:row>1</xdr:row>
      <xdr:rowOff>142875</xdr:rowOff>
    </xdr:from>
    <xdr:to>
      <xdr:col>4</xdr:col>
      <xdr:colOff>304800</xdr:colOff>
      <xdr:row>2</xdr:row>
      <xdr:rowOff>152256</xdr:rowOff>
    </xdr:to>
    <xdr:pic>
      <xdr:nvPicPr>
        <xdr:cNvPr id="2" name="Picture 1">
          <a:extLst>
            <a:ext uri="{FF2B5EF4-FFF2-40B4-BE49-F238E27FC236}">
              <a16:creationId xmlns:a16="http://schemas.microsoft.com/office/drawing/2014/main" id="{67FF75F7-18AC-4578-857F-F1418F519C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419100"/>
          <a:ext cx="2076450" cy="276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vehicleanswers.com/cc-to-hp-calculator/"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13.bin"/><Relationship Id="rId3" Type="http://schemas.openxmlformats.org/officeDocument/2006/relationships/hyperlink" Target="https://www.extension.iastate.edu/agdm/crops/pdf/a3-29.pdf" TargetMode="External"/><Relationship Id="rId7" Type="http://schemas.openxmlformats.org/officeDocument/2006/relationships/hyperlink" Target="https://www.agecon.msstate.edu/whatwedo/budgets/docs/26/MSUCOT26.pdf" TargetMode="External"/><Relationship Id="rId2" Type="http://schemas.openxmlformats.org/officeDocument/2006/relationships/hyperlink" Target="https://www.extension.iastate.edu/agdm/crops/pdf/a3-29.pdf" TargetMode="External"/><Relationship Id="rId1" Type="http://schemas.openxmlformats.org/officeDocument/2006/relationships/hyperlink" Target="https://www.extension.iastate.edu/agdm/crops/pdf/a3-29.pdf" TargetMode="External"/><Relationship Id="rId6" Type="http://schemas.openxmlformats.org/officeDocument/2006/relationships/hyperlink" Target="https://elibrary.asabe.org/azdez.asp?JID=4&amp;AID=41477&amp;CID=epam2006&amp;T=1" TargetMode="External"/><Relationship Id="rId5" Type="http://schemas.openxmlformats.org/officeDocument/2006/relationships/hyperlink" Target="https://www.usinflationcalculator.com/inflation/current-inflation-rates/" TargetMode="External"/><Relationship Id="rId4" Type="http://schemas.openxmlformats.org/officeDocument/2006/relationships/hyperlink" Target="https://www.extension.iastate.edu/agdm/crops/html/a3-24.html"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9063E-1AB4-49A5-BDB5-00B0F3FCD05C}">
  <sheetPr>
    <pageSetUpPr fitToPage="1"/>
  </sheetPr>
  <dimension ref="A1:O46"/>
  <sheetViews>
    <sheetView workbookViewId="0">
      <selection activeCell="A7" sqref="A7:K36"/>
    </sheetView>
  </sheetViews>
  <sheetFormatPr defaultColWidth="9.140625" defaultRowHeight="18.75" x14ac:dyDescent="0.3"/>
  <cols>
    <col min="1" max="16384" width="9.140625" style="121"/>
  </cols>
  <sheetData>
    <row r="1" spans="1:15" x14ac:dyDescent="0.3">
      <c r="A1" s="208" t="s">
        <v>693</v>
      </c>
      <c r="B1" s="209"/>
      <c r="C1" s="209"/>
      <c r="D1" s="209"/>
      <c r="E1" s="209"/>
      <c r="F1" s="209"/>
      <c r="G1" s="209"/>
      <c r="H1" s="209"/>
      <c r="I1" s="209"/>
      <c r="J1" s="209"/>
      <c r="K1" s="210"/>
    </row>
    <row r="2" spans="1:15" x14ac:dyDescent="0.3">
      <c r="A2" s="211"/>
      <c r="B2" s="212"/>
      <c r="C2" s="212"/>
      <c r="D2" s="212"/>
      <c r="E2" s="212"/>
      <c r="F2" s="212"/>
      <c r="G2" s="212"/>
      <c r="H2" s="212"/>
      <c r="I2" s="212"/>
      <c r="J2" s="212"/>
      <c r="K2" s="213"/>
    </row>
    <row r="3" spans="1:15" x14ac:dyDescent="0.3">
      <c r="A3" s="211"/>
      <c r="B3" s="212"/>
      <c r="C3" s="212"/>
      <c r="D3" s="212"/>
      <c r="E3" s="212"/>
      <c r="F3" s="212"/>
      <c r="G3" s="212"/>
      <c r="H3" s="212"/>
      <c r="I3" s="212"/>
      <c r="J3" s="212"/>
      <c r="K3" s="213"/>
    </row>
    <row r="4" spans="1:15" x14ac:dyDescent="0.3">
      <c r="A4" s="211"/>
      <c r="B4" s="212"/>
      <c r="C4" s="212"/>
      <c r="D4" s="212"/>
      <c r="E4" s="212"/>
      <c r="F4" s="212"/>
      <c r="G4" s="212"/>
      <c r="H4" s="212"/>
      <c r="I4" s="212"/>
      <c r="J4" s="212"/>
      <c r="K4" s="213"/>
    </row>
    <row r="5" spans="1:15" x14ac:dyDescent="0.3">
      <c r="A5" s="211"/>
      <c r="B5" s="212"/>
      <c r="C5" s="212"/>
      <c r="D5" s="212"/>
      <c r="E5" s="212"/>
      <c r="F5" s="212"/>
      <c r="G5" s="212"/>
      <c r="H5" s="212"/>
      <c r="I5" s="212"/>
      <c r="J5" s="212"/>
      <c r="K5" s="213"/>
      <c r="N5" s="121" t="s">
        <v>650</v>
      </c>
    </row>
    <row r="6" spans="1:15" x14ac:dyDescent="0.3">
      <c r="A6" s="211"/>
      <c r="B6" s="212"/>
      <c r="C6" s="212"/>
      <c r="D6" s="212"/>
      <c r="E6" s="212"/>
      <c r="F6" s="212"/>
      <c r="G6" s="212"/>
      <c r="H6" s="212"/>
      <c r="I6" s="212"/>
      <c r="J6" s="212"/>
      <c r="K6" s="213"/>
    </row>
    <row r="7" spans="1:15" x14ac:dyDescent="0.3">
      <c r="A7" s="233" t="s">
        <v>701</v>
      </c>
      <c r="B7" s="234"/>
      <c r="C7" s="234"/>
      <c r="D7" s="234"/>
      <c r="E7" s="234"/>
      <c r="F7" s="234"/>
      <c r="G7" s="234"/>
      <c r="H7" s="234"/>
      <c r="I7" s="234"/>
      <c r="J7" s="234"/>
      <c r="K7" s="235"/>
    </row>
    <row r="8" spans="1:15" x14ac:dyDescent="0.3">
      <c r="A8" s="236"/>
      <c r="B8" s="234"/>
      <c r="C8" s="234"/>
      <c r="D8" s="234"/>
      <c r="E8" s="234"/>
      <c r="F8" s="234"/>
      <c r="G8" s="234"/>
      <c r="H8" s="234"/>
      <c r="I8" s="234"/>
      <c r="J8" s="234"/>
      <c r="K8" s="235"/>
    </row>
    <row r="9" spans="1:15" x14ac:dyDescent="0.3">
      <c r="A9" s="236"/>
      <c r="B9" s="234"/>
      <c r="C9" s="234"/>
      <c r="D9" s="234"/>
      <c r="E9" s="234"/>
      <c r="F9" s="234"/>
      <c r="G9" s="234"/>
      <c r="H9" s="234"/>
      <c r="I9" s="234"/>
      <c r="J9" s="234"/>
      <c r="K9" s="235"/>
    </row>
    <row r="10" spans="1:15" x14ac:dyDescent="0.3">
      <c r="A10" s="236"/>
      <c r="B10" s="234"/>
      <c r="C10" s="234"/>
      <c r="D10" s="234"/>
      <c r="E10" s="234"/>
      <c r="F10" s="234"/>
      <c r="G10" s="234"/>
      <c r="H10" s="234"/>
      <c r="I10" s="234"/>
      <c r="J10" s="234"/>
      <c r="K10" s="235"/>
    </row>
    <row r="11" spans="1:15" x14ac:dyDescent="0.3">
      <c r="A11" s="236"/>
      <c r="B11" s="234"/>
      <c r="C11" s="234"/>
      <c r="D11" s="234"/>
      <c r="E11" s="234"/>
      <c r="F11" s="234"/>
      <c r="G11" s="234"/>
      <c r="H11" s="234"/>
      <c r="I11" s="234"/>
      <c r="J11" s="234"/>
      <c r="K11" s="235"/>
    </row>
    <row r="12" spans="1:15" x14ac:dyDescent="0.3">
      <c r="A12" s="236"/>
      <c r="B12" s="234"/>
      <c r="C12" s="234"/>
      <c r="D12" s="234"/>
      <c r="E12" s="234"/>
      <c r="F12" s="234"/>
      <c r="G12" s="234"/>
      <c r="H12" s="234"/>
      <c r="I12" s="234"/>
      <c r="J12" s="234"/>
      <c r="K12" s="235"/>
      <c r="O12" s="216"/>
    </row>
    <row r="13" spans="1:15" x14ac:dyDescent="0.3">
      <c r="A13" s="236"/>
      <c r="B13" s="234"/>
      <c r="C13" s="234"/>
      <c r="D13" s="234"/>
      <c r="E13" s="234"/>
      <c r="F13" s="234"/>
      <c r="G13" s="234"/>
      <c r="H13" s="234"/>
      <c r="I13" s="234"/>
      <c r="J13" s="234"/>
      <c r="K13" s="235"/>
    </row>
    <row r="14" spans="1:15" x14ac:dyDescent="0.3">
      <c r="A14" s="236"/>
      <c r="B14" s="234"/>
      <c r="C14" s="234"/>
      <c r="D14" s="234"/>
      <c r="E14" s="234"/>
      <c r="F14" s="234"/>
      <c r="G14" s="234"/>
      <c r="H14" s="234"/>
      <c r="I14" s="234"/>
      <c r="J14" s="234"/>
      <c r="K14" s="235"/>
    </row>
    <row r="15" spans="1:15" x14ac:dyDescent="0.3">
      <c r="A15" s="236"/>
      <c r="B15" s="234"/>
      <c r="C15" s="234"/>
      <c r="D15" s="234"/>
      <c r="E15" s="234"/>
      <c r="F15" s="234"/>
      <c r="G15" s="234"/>
      <c r="H15" s="234"/>
      <c r="I15" s="234"/>
      <c r="J15" s="234"/>
      <c r="K15" s="235"/>
    </row>
    <row r="16" spans="1:15" x14ac:dyDescent="0.3">
      <c r="A16" s="236"/>
      <c r="B16" s="234"/>
      <c r="C16" s="234"/>
      <c r="D16" s="234"/>
      <c r="E16" s="234"/>
      <c r="F16" s="234"/>
      <c r="G16" s="234"/>
      <c r="H16" s="234"/>
      <c r="I16" s="234"/>
      <c r="J16" s="234"/>
      <c r="K16" s="235"/>
    </row>
    <row r="17" spans="1:11" x14ac:dyDescent="0.3">
      <c r="A17" s="236"/>
      <c r="B17" s="234"/>
      <c r="C17" s="234"/>
      <c r="D17" s="234"/>
      <c r="E17" s="234"/>
      <c r="F17" s="234"/>
      <c r="G17" s="234"/>
      <c r="H17" s="234"/>
      <c r="I17" s="234"/>
      <c r="J17" s="234"/>
      <c r="K17" s="235"/>
    </row>
    <row r="18" spans="1:11" x14ac:dyDescent="0.3">
      <c r="A18" s="236"/>
      <c r="B18" s="234"/>
      <c r="C18" s="234"/>
      <c r="D18" s="234"/>
      <c r="E18" s="234"/>
      <c r="F18" s="234"/>
      <c r="G18" s="234"/>
      <c r="H18" s="234"/>
      <c r="I18" s="234"/>
      <c r="J18" s="234"/>
      <c r="K18" s="235"/>
    </row>
    <row r="19" spans="1:11" x14ac:dyDescent="0.3">
      <c r="A19" s="236"/>
      <c r="B19" s="234"/>
      <c r="C19" s="234"/>
      <c r="D19" s="234"/>
      <c r="E19" s="234"/>
      <c r="F19" s="234"/>
      <c r="G19" s="234"/>
      <c r="H19" s="234"/>
      <c r="I19" s="234"/>
      <c r="J19" s="234"/>
      <c r="K19" s="235"/>
    </row>
    <row r="20" spans="1:11" x14ac:dyDescent="0.3">
      <c r="A20" s="236"/>
      <c r="B20" s="234"/>
      <c r="C20" s="234"/>
      <c r="D20" s="234"/>
      <c r="E20" s="234"/>
      <c r="F20" s="234"/>
      <c r="G20" s="234"/>
      <c r="H20" s="234"/>
      <c r="I20" s="234"/>
      <c r="J20" s="234"/>
      <c r="K20" s="235"/>
    </row>
    <row r="21" spans="1:11" x14ac:dyDescent="0.3">
      <c r="A21" s="236"/>
      <c r="B21" s="234"/>
      <c r="C21" s="234"/>
      <c r="D21" s="234"/>
      <c r="E21" s="234"/>
      <c r="F21" s="234"/>
      <c r="G21" s="234"/>
      <c r="H21" s="234"/>
      <c r="I21" s="234"/>
      <c r="J21" s="234"/>
      <c r="K21" s="235"/>
    </row>
    <row r="22" spans="1:11" x14ac:dyDescent="0.3">
      <c r="A22" s="236"/>
      <c r="B22" s="234"/>
      <c r="C22" s="234"/>
      <c r="D22" s="234"/>
      <c r="E22" s="234"/>
      <c r="F22" s="234"/>
      <c r="G22" s="234"/>
      <c r="H22" s="234"/>
      <c r="I22" s="234"/>
      <c r="J22" s="234"/>
      <c r="K22" s="235"/>
    </row>
    <row r="23" spans="1:11" x14ac:dyDescent="0.3">
      <c r="A23" s="236"/>
      <c r="B23" s="234"/>
      <c r="C23" s="234"/>
      <c r="D23" s="234"/>
      <c r="E23" s="234"/>
      <c r="F23" s="234"/>
      <c r="G23" s="234"/>
      <c r="H23" s="234"/>
      <c r="I23" s="234"/>
      <c r="J23" s="234"/>
      <c r="K23" s="235"/>
    </row>
    <row r="24" spans="1:11" x14ac:dyDescent="0.3">
      <c r="A24" s="236"/>
      <c r="B24" s="234"/>
      <c r="C24" s="234"/>
      <c r="D24" s="234"/>
      <c r="E24" s="234"/>
      <c r="F24" s="234"/>
      <c r="G24" s="234"/>
      <c r="H24" s="234"/>
      <c r="I24" s="234"/>
      <c r="J24" s="234"/>
      <c r="K24" s="235"/>
    </row>
    <row r="25" spans="1:11" x14ac:dyDescent="0.3">
      <c r="A25" s="236"/>
      <c r="B25" s="234"/>
      <c r="C25" s="234"/>
      <c r="D25" s="234"/>
      <c r="E25" s="234"/>
      <c r="F25" s="234"/>
      <c r="G25" s="234"/>
      <c r="H25" s="234"/>
      <c r="I25" s="234"/>
      <c r="J25" s="234"/>
      <c r="K25" s="235"/>
    </row>
    <row r="26" spans="1:11" x14ac:dyDescent="0.3">
      <c r="A26" s="236"/>
      <c r="B26" s="234"/>
      <c r="C26" s="234"/>
      <c r="D26" s="234"/>
      <c r="E26" s="234"/>
      <c r="F26" s="234"/>
      <c r="G26" s="234"/>
      <c r="H26" s="234"/>
      <c r="I26" s="234"/>
      <c r="J26" s="234"/>
      <c r="K26" s="235"/>
    </row>
    <row r="27" spans="1:11" x14ac:dyDescent="0.3">
      <c r="A27" s="236"/>
      <c r="B27" s="234"/>
      <c r="C27" s="234"/>
      <c r="D27" s="234"/>
      <c r="E27" s="234"/>
      <c r="F27" s="234"/>
      <c r="G27" s="234"/>
      <c r="H27" s="234"/>
      <c r="I27" s="234"/>
      <c r="J27" s="234"/>
      <c r="K27" s="235"/>
    </row>
    <row r="28" spans="1:11" x14ac:dyDescent="0.3">
      <c r="A28" s="236"/>
      <c r="B28" s="234"/>
      <c r="C28" s="234"/>
      <c r="D28" s="234"/>
      <c r="E28" s="234"/>
      <c r="F28" s="234"/>
      <c r="G28" s="234"/>
      <c r="H28" s="234"/>
      <c r="I28" s="234"/>
      <c r="J28" s="234"/>
      <c r="K28" s="235"/>
    </row>
    <row r="29" spans="1:11" x14ac:dyDescent="0.3">
      <c r="A29" s="236"/>
      <c r="B29" s="234"/>
      <c r="C29" s="234"/>
      <c r="D29" s="234"/>
      <c r="E29" s="234"/>
      <c r="F29" s="234"/>
      <c r="G29" s="234"/>
      <c r="H29" s="234"/>
      <c r="I29" s="234"/>
      <c r="J29" s="234"/>
      <c r="K29" s="235"/>
    </row>
    <row r="30" spans="1:11" x14ac:dyDescent="0.3">
      <c r="A30" s="236"/>
      <c r="B30" s="234"/>
      <c r="C30" s="234"/>
      <c r="D30" s="234"/>
      <c r="E30" s="234"/>
      <c r="F30" s="234"/>
      <c r="G30" s="234"/>
      <c r="H30" s="234"/>
      <c r="I30" s="234"/>
      <c r="J30" s="234"/>
      <c r="K30" s="235"/>
    </row>
    <row r="31" spans="1:11" x14ac:dyDescent="0.3">
      <c r="A31" s="236"/>
      <c r="B31" s="234"/>
      <c r="C31" s="234"/>
      <c r="D31" s="234"/>
      <c r="E31" s="234"/>
      <c r="F31" s="234"/>
      <c r="G31" s="234"/>
      <c r="H31" s="234"/>
      <c r="I31" s="234"/>
      <c r="J31" s="234"/>
      <c r="K31" s="235"/>
    </row>
    <row r="32" spans="1:11" x14ac:dyDescent="0.3">
      <c r="A32" s="236"/>
      <c r="B32" s="234"/>
      <c r="C32" s="234"/>
      <c r="D32" s="234"/>
      <c r="E32" s="234"/>
      <c r="F32" s="234"/>
      <c r="G32" s="234"/>
      <c r="H32" s="234"/>
      <c r="I32" s="234"/>
      <c r="J32" s="234"/>
      <c r="K32" s="235"/>
    </row>
    <row r="33" spans="1:11" x14ac:dyDescent="0.3">
      <c r="A33" s="236"/>
      <c r="B33" s="234"/>
      <c r="C33" s="234"/>
      <c r="D33" s="234"/>
      <c r="E33" s="234"/>
      <c r="F33" s="234"/>
      <c r="G33" s="234"/>
      <c r="H33" s="234"/>
      <c r="I33" s="234"/>
      <c r="J33" s="234"/>
      <c r="K33" s="235"/>
    </row>
    <row r="34" spans="1:11" x14ac:dyDescent="0.3">
      <c r="A34" s="236"/>
      <c r="B34" s="234"/>
      <c r="C34" s="234"/>
      <c r="D34" s="234"/>
      <c r="E34" s="234"/>
      <c r="F34" s="234"/>
      <c r="G34" s="234"/>
      <c r="H34" s="234"/>
      <c r="I34" s="234"/>
      <c r="J34" s="234"/>
      <c r="K34" s="235"/>
    </row>
    <row r="35" spans="1:11" x14ac:dyDescent="0.3">
      <c r="A35" s="237"/>
      <c r="B35" s="238"/>
      <c r="C35" s="238"/>
      <c r="D35" s="238"/>
      <c r="E35" s="238"/>
      <c r="F35" s="238"/>
      <c r="G35" s="238"/>
      <c r="H35" s="238"/>
      <c r="I35" s="238"/>
      <c r="J35" s="238"/>
      <c r="K35" s="239"/>
    </row>
    <row r="36" spans="1:11" x14ac:dyDescent="0.3">
      <c r="A36" s="237"/>
      <c r="B36" s="238"/>
      <c r="C36" s="238"/>
      <c r="D36" s="238"/>
      <c r="E36" s="238"/>
      <c r="F36" s="238"/>
      <c r="G36" s="238"/>
      <c r="H36" s="238"/>
      <c r="I36" s="238"/>
      <c r="J36" s="238"/>
      <c r="K36" s="239"/>
    </row>
    <row r="37" spans="1:11" ht="19.5" thickBot="1" x14ac:dyDescent="0.35">
      <c r="A37" s="230"/>
      <c r="B37" s="231"/>
      <c r="C37" s="231"/>
      <c r="D37" s="231"/>
      <c r="E37" s="231"/>
      <c r="F37" s="231"/>
      <c r="G37" s="231"/>
      <c r="H37" s="231"/>
      <c r="I37" s="231"/>
      <c r="J37" s="231"/>
      <c r="K37" s="232"/>
    </row>
    <row r="38" spans="1:11" x14ac:dyDescent="0.3">
      <c r="A38" s="122"/>
      <c r="B38" s="123"/>
      <c r="C38" s="217" t="s">
        <v>651</v>
      </c>
      <c r="D38" s="218"/>
      <c r="E38" s="218"/>
      <c r="F38" s="218"/>
      <c r="G38" s="219"/>
      <c r="H38" s="124"/>
      <c r="I38" s="226" t="s">
        <v>694</v>
      </c>
      <c r="J38" s="227"/>
      <c r="K38" s="125"/>
    </row>
    <row r="39" spans="1:11" ht="19.5" thickBot="1" x14ac:dyDescent="0.35">
      <c r="A39" s="122"/>
      <c r="B39" s="123"/>
      <c r="C39" s="220"/>
      <c r="D39" s="221"/>
      <c r="E39" s="221"/>
      <c r="F39" s="221"/>
      <c r="G39" s="222"/>
      <c r="H39" s="124"/>
      <c r="I39" s="228"/>
      <c r="J39" s="229"/>
      <c r="K39" s="125"/>
    </row>
    <row r="40" spans="1:11" ht="21" x14ac:dyDescent="0.3">
      <c r="A40" s="122"/>
      <c r="B40" s="123"/>
      <c r="C40" s="220"/>
      <c r="D40" s="221"/>
      <c r="E40" s="221"/>
      <c r="F40" s="221"/>
      <c r="G40" s="222"/>
      <c r="H40" s="124"/>
      <c r="I40" s="126"/>
      <c r="J40" s="126"/>
      <c r="K40" s="125"/>
    </row>
    <row r="41" spans="1:11" ht="21" x14ac:dyDescent="0.3">
      <c r="A41" s="122"/>
      <c r="B41" s="123"/>
      <c r="C41" s="220"/>
      <c r="D41" s="221"/>
      <c r="E41" s="221"/>
      <c r="F41" s="221"/>
      <c r="G41" s="222"/>
      <c r="H41" s="124"/>
      <c r="I41" s="126"/>
      <c r="J41" s="126"/>
      <c r="K41" s="125"/>
    </row>
    <row r="42" spans="1:11" ht="21" x14ac:dyDescent="0.3">
      <c r="A42" s="122"/>
      <c r="B42" s="123"/>
      <c r="C42" s="220"/>
      <c r="D42" s="221"/>
      <c r="E42" s="221"/>
      <c r="F42" s="221"/>
      <c r="G42" s="222"/>
      <c r="H42" s="124"/>
      <c r="I42" s="126"/>
      <c r="J42" s="126"/>
      <c r="K42" s="127"/>
    </row>
    <row r="43" spans="1:11" ht="21" x14ac:dyDescent="0.3">
      <c r="A43" s="122"/>
      <c r="B43" s="123"/>
      <c r="C43" s="220"/>
      <c r="D43" s="221"/>
      <c r="E43" s="221"/>
      <c r="F43" s="221"/>
      <c r="G43" s="222"/>
      <c r="H43" s="124"/>
      <c r="I43" s="126"/>
      <c r="J43" s="126"/>
      <c r="K43" s="127"/>
    </row>
    <row r="44" spans="1:11" ht="21" x14ac:dyDescent="0.3">
      <c r="A44" s="122"/>
      <c r="B44" s="123"/>
      <c r="C44" s="220"/>
      <c r="D44" s="221"/>
      <c r="E44" s="221"/>
      <c r="F44" s="221"/>
      <c r="G44" s="222"/>
      <c r="H44" s="124"/>
      <c r="I44" s="126"/>
      <c r="J44" s="126"/>
      <c r="K44" s="127"/>
    </row>
    <row r="45" spans="1:11" ht="21.75" thickBot="1" x14ac:dyDescent="0.35">
      <c r="A45" s="122"/>
      <c r="B45" s="123"/>
      <c r="C45" s="223"/>
      <c r="D45" s="224"/>
      <c r="E45" s="224"/>
      <c r="F45" s="224"/>
      <c r="G45" s="225"/>
      <c r="H45" s="124"/>
      <c r="I45" s="126"/>
      <c r="J45" s="126"/>
      <c r="K45" s="127"/>
    </row>
    <row r="46" spans="1:11" ht="19.5" thickBot="1" x14ac:dyDescent="0.35">
      <c r="A46" s="128"/>
      <c r="B46" s="129"/>
      <c r="C46" s="129"/>
      <c r="D46" s="129"/>
      <c r="E46" s="129"/>
      <c r="F46" s="129"/>
      <c r="G46" s="129"/>
      <c r="H46" s="129"/>
      <c r="I46" s="129"/>
      <c r="J46" s="129"/>
      <c r="K46" s="130"/>
    </row>
  </sheetData>
  <sheetProtection algorithmName="SHA-512" hashValue="yJKxQr9eCNKG8xoKyQUu59qI2pd2hPkEEcE5pU+Xqofe2+D9AHOpSIHzdxOiZ5z5JvSyw9cz+pZP160cUKq1cQ==" saltValue="uDF8t6BBoeZIyXdeXvBMfw==" spinCount="100000" sheet="1" objects="1" scenarios="1"/>
  <mergeCells count="4">
    <mergeCell ref="C38:G45"/>
    <mergeCell ref="I38:J39"/>
    <mergeCell ref="A37:K37"/>
    <mergeCell ref="A7:K36"/>
  </mergeCells>
  <pageMargins left="0.7" right="0.7" top="0.75" bottom="0.75" header="0.3" footer="0.3"/>
  <pageSetup scale="7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52AD8-08A7-4EEA-84B5-63AD97E154B2}">
  <sheetPr>
    <pageSetUpPr fitToPage="1"/>
  </sheetPr>
  <dimension ref="A1:P389"/>
  <sheetViews>
    <sheetView workbookViewId="0">
      <selection activeCell="R7" sqref="R7"/>
    </sheetView>
  </sheetViews>
  <sheetFormatPr defaultColWidth="9.140625" defaultRowHeight="13.5" x14ac:dyDescent="0.25"/>
  <cols>
    <col min="1" max="1" width="34" style="2" bestFit="1" customWidth="1"/>
    <col min="2" max="2" width="6.42578125" style="2" bestFit="1" customWidth="1"/>
    <col min="3" max="3" width="22.85546875" style="2" bestFit="1" customWidth="1"/>
    <col min="4" max="4" width="9.42578125" style="88" bestFit="1" customWidth="1"/>
    <col min="5" max="5" width="7.7109375" style="2" bestFit="1" customWidth="1"/>
    <col min="6" max="6" width="7.140625" style="2" bestFit="1" customWidth="1"/>
    <col min="7" max="7" width="9.140625" style="2"/>
    <col min="8" max="9" width="8" style="89" bestFit="1" customWidth="1"/>
    <col min="10" max="10" width="8.28515625" style="89" bestFit="1" customWidth="1"/>
    <col min="11" max="11" width="8" style="89" bestFit="1" customWidth="1"/>
    <col min="12" max="12" width="12.28515625" style="89" bestFit="1" customWidth="1"/>
    <col min="13" max="13" width="9.28515625" style="89" bestFit="1" customWidth="1"/>
    <col min="14" max="14" width="8.42578125" style="89" bestFit="1" customWidth="1"/>
    <col min="15" max="15" width="10.85546875" style="89" bestFit="1" customWidth="1"/>
    <col min="16" max="16" width="10.140625" style="2" bestFit="1" customWidth="1"/>
    <col min="17" max="16384" width="9.140625" style="2"/>
  </cols>
  <sheetData>
    <row r="1" spans="1:16" x14ac:dyDescent="0.25">
      <c r="A1" s="76">
        <v>1</v>
      </c>
      <c r="B1" s="76">
        <v>2</v>
      </c>
      <c r="C1" s="76">
        <v>3</v>
      </c>
      <c r="D1" s="76">
        <v>4</v>
      </c>
      <c r="E1" s="76">
        <v>5</v>
      </c>
      <c r="F1" s="76">
        <v>6</v>
      </c>
      <c r="G1" s="76">
        <v>7</v>
      </c>
      <c r="H1" s="76">
        <v>8</v>
      </c>
      <c r="I1" s="76">
        <v>9</v>
      </c>
      <c r="J1" s="76">
        <v>10</v>
      </c>
      <c r="K1" s="76">
        <v>11</v>
      </c>
      <c r="L1" s="76">
        <v>12</v>
      </c>
      <c r="M1" s="76">
        <v>13</v>
      </c>
      <c r="N1" s="76">
        <v>14</v>
      </c>
      <c r="O1" s="76">
        <v>15</v>
      </c>
      <c r="P1" s="20">
        <v>16</v>
      </c>
    </row>
    <row r="2" spans="1:16" ht="40.5" x14ac:dyDescent="0.25">
      <c r="A2" s="77" t="s">
        <v>59</v>
      </c>
      <c r="B2" s="78" t="s">
        <v>91</v>
      </c>
      <c r="C2" s="77" t="s">
        <v>92</v>
      </c>
      <c r="D2" s="79" t="s">
        <v>678</v>
      </c>
      <c r="E2" s="80" t="s">
        <v>93</v>
      </c>
      <c r="F2" s="80" t="s">
        <v>62</v>
      </c>
      <c r="G2" s="81" t="s">
        <v>64</v>
      </c>
      <c r="H2" s="82" t="s">
        <v>65</v>
      </c>
      <c r="I2" s="82" t="s">
        <v>66</v>
      </c>
      <c r="J2" s="82" t="s">
        <v>94</v>
      </c>
      <c r="K2" s="82" t="s">
        <v>95</v>
      </c>
      <c r="L2" s="82" t="s">
        <v>68</v>
      </c>
      <c r="M2" s="82" t="s">
        <v>96</v>
      </c>
      <c r="N2" s="82" t="s">
        <v>97</v>
      </c>
      <c r="O2" s="82" t="s">
        <v>70</v>
      </c>
      <c r="P2" s="80" t="s">
        <v>71</v>
      </c>
    </row>
    <row r="3" spans="1:16" x14ac:dyDescent="0.25">
      <c r="A3" s="56" t="s">
        <v>73</v>
      </c>
      <c r="B3" s="59">
        <v>0</v>
      </c>
      <c r="C3" s="83" t="s">
        <v>73</v>
      </c>
      <c r="D3" s="57">
        <v>0</v>
      </c>
      <c r="E3" s="58">
        <v>0</v>
      </c>
      <c r="F3" s="58">
        <v>0</v>
      </c>
      <c r="G3" s="60">
        <v>0</v>
      </c>
      <c r="H3" s="57">
        <v>0</v>
      </c>
      <c r="I3" s="57">
        <v>0</v>
      </c>
      <c r="J3" s="57">
        <v>0</v>
      </c>
      <c r="K3" s="57">
        <v>0</v>
      </c>
      <c r="L3" s="57">
        <v>0</v>
      </c>
      <c r="M3" s="57">
        <v>0</v>
      </c>
      <c r="N3" s="57">
        <v>0</v>
      </c>
      <c r="O3" s="57">
        <v>0</v>
      </c>
      <c r="P3" s="59">
        <v>0</v>
      </c>
    </row>
    <row r="4" spans="1:16" x14ac:dyDescent="0.25">
      <c r="A4" s="62" t="s">
        <v>98</v>
      </c>
      <c r="B4" s="65">
        <f>(4*38)/12</f>
        <v>12.666666666666666</v>
      </c>
      <c r="C4" s="62" t="s">
        <v>99</v>
      </c>
      <c r="D4" s="63">
        <v>15700</v>
      </c>
      <c r="E4" s="64">
        <v>160</v>
      </c>
      <c r="F4" s="64">
        <v>10</v>
      </c>
      <c r="G4" s="84">
        <v>0.14699999999999999</v>
      </c>
      <c r="H4" s="67">
        <v>2.84</v>
      </c>
      <c r="I4" s="67">
        <v>3.35</v>
      </c>
      <c r="J4" s="67">
        <v>0.56999999999999995</v>
      </c>
      <c r="K4" s="67">
        <v>0.89</v>
      </c>
      <c r="L4" s="67">
        <v>7.67</v>
      </c>
      <c r="M4" s="67">
        <v>1.91</v>
      </c>
      <c r="N4" s="67">
        <v>6.69</v>
      </c>
      <c r="O4" s="67">
        <v>16.28</v>
      </c>
      <c r="P4" s="65">
        <f>1/G4</f>
        <v>6.8027210884353746</v>
      </c>
    </row>
    <row r="5" spans="1:16" x14ac:dyDescent="0.25">
      <c r="A5" s="62" t="s">
        <v>100</v>
      </c>
      <c r="B5" s="65">
        <f>(6*38)/12</f>
        <v>19</v>
      </c>
      <c r="C5" s="62" t="s">
        <v>101</v>
      </c>
      <c r="D5" s="63">
        <v>29900</v>
      </c>
      <c r="E5" s="64">
        <v>160</v>
      </c>
      <c r="F5" s="64">
        <v>10</v>
      </c>
      <c r="G5" s="84">
        <v>9.8000000000000004E-2</v>
      </c>
      <c r="H5" s="67">
        <v>1.9</v>
      </c>
      <c r="I5" s="67">
        <v>2.5299999999999998</v>
      </c>
      <c r="J5" s="67">
        <v>0.73</v>
      </c>
      <c r="K5" s="67">
        <v>0.67</v>
      </c>
      <c r="L5" s="67">
        <v>5.85</v>
      </c>
      <c r="M5" s="67">
        <v>2.4300000000000002</v>
      </c>
      <c r="N5" s="67">
        <v>5.21</v>
      </c>
      <c r="O5" s="67">
        <v>13.5</v>
      </c>
      <c r="P5" s="65">
        <f t="shared" ref="P5:P68" si="0">1/G5</f>
        <v>10.204081632653061</v>
      </c>
    </row>
    <row r="6" spans="1:16" x14ac:dyDescent="0.25">
      <c r="A6" s="62" t="s">
        <v>102</v>
      </c>
      <c r="B6" s="65">
        <f>(8*30)/12</f>
        <v>20</v>
      </c>
      <c r="C6" s="62" t="s">
        <v>103</v>
      </c>
      <c r="D6" s="63">
        <v>33100</v>
      </c>
      <c r="E6" s="64">
        <v>160</v>
      </c>
      <c r="F6" s="64">
        <v>10</v>
      </c>
      <c r="G6" s="84">
        <v>9.2999999999999999E-2</v>
      </c>
      <c r="H6" s="67">
        <v>1.8</v>
      </c>
      <c r="I6" s="67">
        <v>2.69</v>
      </c>
      <c r="J6" s="67">
        <v>0.77</v>
      </c>
      <c r="K6" s="67">
        <v>0.82</v>
      </c>
      <c r="L6" s="67">
        <v>6.1</v>
      </c>
      <c r="M6" s="67">
        <v>2.56</v>
      </c>
      <c r="N6" s="67">
        <v>6.36</v>
      </c>
      <c r="O6" s="67">
        <v>15.03</v>
      </c>
      <c r="P6" s="65">
        <f t="shared" si="0"/>
        <v>10.75268817204301</v>
      </c>
    </row>
    <row r="7" spans="1:16" x14ac:dyDescent="0.25">
      <c r="A7" s="62" t="s">
        <v>104</v>
      </c>
      <c r="B7" s="65">
        <f>(8*38)/12</f>
        <v>25.333333333333332</v>
      </c>
      <c r="C7" s="62" t="s">
        <v>103</v>
      </c>
      <c r="D7" s="63">
        <v>114000</v>
      </c>
      <c r="E7" s="64">
        <v>160</v>
      </c>
      <c r="F7" s="64">
        <v>10</v>
      </c>
      <c r="G7" s="84">
        <v>4.9000000000000002E-2</v>
      </c>
      <c r="H7" s="67">
        <v>0.95</v>
      </c>
      <c r="I7" s="67">
        <v>1.41</v>
      </c>
      <c r="J7" s="67">
        <v>1.4</v>
      </c>
      <c r="K7" s="67">
        <v>0.43</v>
      </c>
      <c r="L7" s="67">
        <v>4.2</v>
      </c>
      <c r="M7" s="67">
        <v>4.6399999999999997</v>
      </c>
      <c r="N7" s="67">
        <v>3.35</v>
      </c>
      <c r="O7" s="67">
        <v>12.2</v>
      </c>
      <c r="P7" s="65">
        <f t="shared" si="0"/>
        <v>20.408163265306122</v>
      </c>
    </row>
    <row r="8" spans="1:16" x14ac:dyDescent="0.25">
      <c r="A8" s="62" t="s">
        <v>105</v>
      </c>
      <c r="B8" s="65">
        <f>(12*30)/12</f>
        <v>30</v>
      </c>
      <c r="C8" s="62" t="s">
        <v>106</v>
      </c>
      <c r="D8" s="63">
        <v>85400</v>
      </c>
      <c r="E8" s="64">
        <v>160</v>
      </c>
      <c r="F8" s="64">
        <v>10</v>
      </c>
      <c r="G8" s="84">
        <v>6.2E-2</v>
      </c>
      <c r="H8" s="67">
        <v>1.2</v>
      </c>
      <c r="I8" s="67">
        <v>2.12</v>
      </c>
      <c r="J8" s="67">
        <v>1.33</v>
      </c>
      <c r="K8" s="67">
        <v>0.59</v>
      </c>
      <c r="L8" s="67">
        <v>5.26</v>
      </c>
      <c r="M8" s="67">
        <v>4.4000000000000004</v>
      </c>
      <c r="N8" s="67">
        <v>4.63</v>
      </c>
      <c r="O8" s="67">
        <v>14.31</v>
      </c>
      <c r="P8" s="65">
        <f t="shared" si="0"/>
        <v>16.129032258064516</v>
      </c>
    </row>
    <row r="9" spans="1:16" x14ac:dyDescent="0.25">
      <c r="A9" s="62" t="s">
        <v>107</v>
      </c>
      <c r="B9" s="65">
        <f>(12*38)/12</f>
        <v>38</v>
      </c>
      <c r="C9" s="62" t="s">
        <v>106</v>
      </c>
      <c r="D9" s="63">
        <v>114000</v>
      </c>
      <c r="E9" s="64">
        <v>160</v>
      </c>
      <c r="F9" s="64">
        <v>10</v>
      </c>
      <c r="G9" s="84">
        <v>4.9000000000000002E-2</v>
      </c>
      <c r="H9" s="67">
        <v>0.95</v>
      </c>
      <c r="I9" s="67">
        <v>1.67</v>
      </c>
      <c r="J9" s="67">
        <v>1.4</v>
      </c>
      <c r="K9" s="67">
        <v>0.47</v>
      </c>
      <c r="L9" s="67">
        <v>4.51</v>
      </c>
      <c r="M9" s="67">
        <v>4.6399999999999997</v>
      </c>
      <c r="N9" s="67">
        <v>3.66</v>
      </c>
      <c r="O9" s="67">
        <v>12.81</v>
      </c>
      <c r="P9" s="65">
        <f t="shared" si="0"/>
        <v>20.408163265306122</v>
      </c>
    </row>
    <row r="10" spans="1:16" x14ac:dyDescent="0.25">
      <c r="A10" s="62" t="s">
        <v>108</v>
      </c>
      <c r="B10" s="65">
        <f>(16*40)/12</f>
        <v>53.333333333333336</v>
      </c>
      <c r="C10" s="62" t="s">
        <v>109</v>
      </c>
      <c r="D10" s="63">
        <v>135000</v>
      </c>
      <c r="E10" s="64">
        <v>160</v>
      </c>
      <c r="F10" s="64">
        <v>10</v>
      </c>
      <c r="G10" s="84">
        <v>3.5000000000000003E-2</v>
      </c>
      <c r="H10" s="67">
        <v>0.68</v>
      </c>
      <c r="I10" s="67">
        <v>1.6</v>
      </c>
      <c r="J10" s="67">
        <v>1.19</v>
      </c>
      <c r="K10" s="67">
        <v>0.43</v>
      </c>
      <c r="L10" s="67">
        <v>3.91</v>
      </c>
      <c r="M10" s="67">
        <v>3.94</v>
      </c>
      <c r="N10" s="67">
        <v>3.37</v>
      </c>
      <c r="O10" s="67">
        <v>11.24</v>
      </c>
      <c r="P10" s="65">
        <f t="shared" si="0"/>
        <v>28.571428571428569</v>
      </c>
    </row>
    <row r="11" spans="1:16" x14ac:dyDescent="0.25">
      <c r="A11" s="62" t="s">
        <v>110</v>
      </c>
      <c r="B11" s="65">
        <f>(8*38)/12</f>
        <v>25.333333333333332</v>
      </c>
      <c r="C11" s="62" t="s">
        <v>103</v>
      </c>
      <c r="D11" s="63">
        <v>83500</v>
      </c>
      <c r="E11" s="64">
        <v>160</v>
      </c>
      <c r="F11" s="64">
        <v>10</v>
      </c>
      <c r="G11" s="84">
        <v>7.3999999999999996E-2</v>
      </c>
      <c r="H11" s="67">
        <v>1.42</v>
      </c>
      <c r="I11" s="67">
        <v>2.13</v>
      </c>
      <c r="J11" s="67">
        <v>1.54</v>
      </c>
      <c r="K11" s="67">
        <v>0.65</v>
      </c>
      <c r="L11" s="67">
        <v>5.75</v>
      </c>
      <c r="M11" s="67">
        <v>5.1100000000000003</v>
      </c>
      <c r="N11" s="67">
        <v>5.03</v>
      </c>
      <c r="O11" s="67">
        <v>15.9</v>
      </c>
      <c r="P11" s="65">
        <f t="shared" si="0"/>
        <v>13.513513513513514</v>
      </c>
    </row>
    <row r="12" spans="1:16" x14ac:dyDescent="0.25">
      <c r="A12" s="62" t="s">
        <v>111</v>
      </c>
      <c r="B12" s="65">
        <f>(8*38)/12</f>
        <v>25.333333333333332</v>
      </c>
      <c r="C12" s="62" t="s">
        <v>103</v>
      </c>
      <c r="D12" s="63">
        <v>46800</v>
      </c>
      <c r="E12" s="64">
        <v>160</v>
      </c>
      <c r="F12" s="64">
        <v>10</v>
      </c>
      <c r="G12" s="84">
        <v>7.3999999999999996E-2</v>
      </c>
      <c r="H12" s="67">
        <v>1.42</v>
      </c>
      <c r="I12" s="67">
        <v>2.13</v>
      </c>
      <c r="J12" s="67">
        <v>0.86</v>
      </c>
      <c r="K12" s="67">
        <v>0.65</v>
      </c>
      <c r="L12" s="67">
        <v>5.07</v>
      </c>
      <c r="M12" s="67">
        <v>2.86</v>
      </c>
      <c r="N12" s="67">
        <v>5.03</v>
      </c>
      <c r="O12" s="67">
        <v>12.97</v>
      </c>
      <c r="P12" s="65">
        <f t="shared" si="0"/>
        <v>13.513513513513514</v>
      </c>
    </row>
    <row r="13" spans="1:16" x14ac:dyDescent="0.25">
      <c r="A13" s="69" t="s">
        <v>112</v>
      </c>
      <c r="B13" s="72">
        <f>(8*30)/12</f>
        <v>20</v>
      </c>
      <c r="C13" s="69" t="s">
        <v>103</v>
      </c>
      <c r="D13" s="70">
        <v>59900</v>
      </c>
      <c r="E13" s="71">
        <v>160</v>
      </c>
      <c r="F13" s="71">
        <v>10</v>
      </c>
      <c r="G13" s="85">
        <v>9.2999999999999999E-2</v>
      </c>
      <c r="H13" s="74">
        <v>1.8</v>
      </c>
      <c r="I13" s="74">
        <v>2.69</v>
      </c>
      <c r="J13" s="74">
        <v>1.4</v>
      </c>
      <c r="K13" s="74">
        <v>0.82</v>
      </c>
      <c r="L13" s="74">
        <v>6.73</v>
      </c>
      <c r="M13" s="74">
        <v>4.63</v>
      </c>
      <c r="N13" s="74">
        <v>6.36</v>
      </c>
      <c r="O13" s="74">
        <v>17.73</v>
      </c>
      <c r="P13" s="72">
        <f t="shared" si="0"/>
        <v>10.75268817204301</v>
      </c>
    </row>
    <row r="14" spans="1:16" x14ac:dyDescent="0.25">
      <c r="A14" s="69" t="s">
        <v>113</v>
      </c>
      <c r="B14" s="72">
        <f>(8*38)/12</f>
        <v>25.333333333333332</v>
      </c>
      <c r="C14" s="69" t="s">
        <v>103</v>
      </c>
      <c r="D14" s="70">
        <v>68500</v>
      </c>
      <c r="E14" s="71">
        <v>160</v>
      </c>
      <c r="F14" s="71">
        <v>10</v>
      </c>
      <c r="G14" s="85">
        <v>7.3999999999999996E-2</v>
      </c>
      <c r="H14" s="74">
        <v>1.42</v>
      </c>
      <c r="I14" s="74">
        <v>2.13</v>
      </c>
      <c r="J14" s="74">
        <v>1.26</v>
      </c>
      <c r="K14" s="74">
        <v>0.65</v>
      </c>
      <c r="L14" s="74">
        <v>5.47</v>
      </c>
      <c r="M14" s="74">
        <v>4.1900000000000004</v>
      </c>
      <c r="N14" s="74">
        <v>5.03</v>
      </c>
      <c r="O14" s="74">
        <v>14.7</v>
      </c>
      <c r="P14" s="72">
        <f t="shared" si="0"/>
        <v>13.513513513513514</v>
      </c>
    </row>
    <row r="15" spans="1:16" x14ac:dyDescent="0.25">
      <c r="A15" s="69" t="s">
        <v>114</v>
      </c>
      <c r="B15" s="72">
        <f>(12*30)/12</f>
        <v>30</v>
      </c>
      <c r="C15" s="69" t="s">
        <v>106</v>
      </c>
      <c r="D15" s="70">
        <v>113000</v>
      </c>
      <c r="E15" s="71">
        <v>160</v>
      </c>
      <c r="F15" s="71">
        <v>10</v>
      </c>
      <c r="G15" s="85">
        <v>6.2E-2</v>
      </c>
      <c r="H15" s="74">
        <v>1.2</v>
      </c>
      <c r="I15" s="74">
        <v>2.12</v>
      </c>
      <c r="J15" s="74">
        <v>1.76</v>
      </c>
      <c r="K15" s="74">
        <v>0.59</v>
      </c>
      <c r="L15" s="74">
        <v>5.69</v>
      </c>
      <c r="M15" s="74">
        <v>5.83</v>
      </c>
      <c r="N15" s="74">
        <v>4.63</v>
      </c>
      <c r="O15" s="74">
        <v>16.170000000000002</v>
      </c>
      <c r="P15" s="72">
        <f t="shared" si="0"/>
        <v>16.129032258064516</v>
      </c>
    </row>
    <row r="16" spans="1:16" x14ac:dyDescent="0.25">
      <c r="A16" s="62" t="s">
        <v>115</v>
      </c>
      <c r="B16" s="65">
        <f>(4*38)/12</f>
        <v>12.666666666666666</v>
      </c>
      <c r="C16" s="62" t="s">
        <v>99</v>
      </c>
      <c r="D16" s="63">
        <v>31900</v>
      </c>
      <c r="E16" s="64">
        <v>160</v>
      </c>
      <c r="F16" s="64">
        <v>8</v>
      </c>
      <c r="G16" s="84">
        <v>0.22800000000000001</v>
      </c>
      <c r="H16" s="67">
        <v>4.4000000000000004</v>
      </c>
      <c r="I16" s="67">
        <v>5.18</v>
      </c>
      <c r="J16" s="67">
        <v>1.7</v>
      </c>
      <c r="K16" s="67">
        <v>1.38</v>
      </c>
      <c r="L16" s="67">
        <v>12.67</v>
      </c>
      <c r="M16" s="67">
        <v>6.6</v>
      </c>
      <c r="N16" s="67">
        <v>10.36</v>
      </c>
      <c r="O16" s="67">
        <v>29.64</v>
      </c>
      <c r="P16" s="65">
        <f t="shared" si="0"/>
        <v>4.3859649122807012</v>
      </c>
    </row>
    <row r="17" spans="1:16" x14ac:dyDescent="0.25">
      <c r="A17" s="62" t="s">
        <v>116</v>
      </c>
      <c r="B17" s="65">
        <f>(6*38)/12</f>
        <v>19</v>
      </c>
      <c r="C17" s="62" t="s">
        <v>99</v>
      </c>
      <c r="D17" s="63">
        <v>36000</v>
      </c>
      <c r="E17" s="64">
        <v>160</v>
      </c>
      <c r="F17" s="64">
        <v>8</v>
      </c>
      <c r="G17" s="84">
        <v>0.12</v>
      </c>
      <c r="H17" s="67">
        <v>2.31</v>
      </c>
      <c r="I17" s="67">
        <v>2.72</v>
      </c>
      <c r="J17" s="67">
        <v>1.01</v>
      </c>
      <c r="K17" s="67">
        <v>0.72</v>
      </c>
      <c r="L17" s="67">
        <v>6.78</v>
      </c>
      <c r="M17" s="67">
        <v>3.92</v>
      </c>
      <c r="N17" s="67">
        <v>5.45</v>
      </c>
      <c r="O17" s="67">
        <v>16.16</v>
      </c>
      <c r="P17" s="65">
        <f t="shared" si="0"/>
        <v>8.3333333333333339</v>
      </c>
    </row>
    <row r="18" spans="1:16" x14ac:dyDescent="0.25">
      <c r="A18" s="62" t="s">
        <v>117</v>
      </c>
      <c r="B18" s="65">
        <f>(8*30)/12</f>
        <v>20</v>
      </c>
      <c r="C18" s="62" t="s">
        <v>103</v>
      </c>
      <c r="D18" s="63">
        <v>48300</v>
      </c>
      <c r="E18" s="64">
        <v>160</v>
      </c>
      <c r="F18" s="64">
        <v>8</v>
      </c>
      <c r="G18" s="84">
        <v>0.114</v>
      </c>
      <c r="H18" s="67">
        <v>2.2000000000000002</v>
      </c>
      <c r="I18" s="67">
        <v>3.28</v>
      </c>
      <c r="J18" s="67">
        <v>1.29</v>
      </c>
      <c r="K18" s="67">
        <v>1</v>
      </c>
      <c r="L18" s="67">
        <v>7.78</v>
      </c>
      <c r="M18" s="67">
        <v>4.99</v>
      </c>
      <c r="N18" s="67">
        <v>7.75</v>
      </c>
      <c r="O18" s="67">
        <v>20.53</v>
      </c>
      <c r="P18" s="65">
        <f t="shared" si="0"/>
        <v>8.7719298245614024</v>
      </c>
    </row>
    <row r="19" spans="1:16" x14ac:dyDescent="0.25">
      <c r="A19" s="62" t="s">
        <v>118</v>
      </c>
      <c r="B19" s="65">
        <f>(8*38)/12</f>
        <v>25.333333333333332</v>
      </c>
      <c r="C19" s="62" t="s">
        <v>103</v>
      </c>
      <c r="D19" s="63">
        <v>48700</v>
      </c>
      <c r="E19" s="64">
        <v>160</v>
      </c>
      <c r="F19" s="64">
        <v>8</v>
      </c>
      <c r="G19" s="84">
        <v>0.09</v>
      </c>
      <c r="H19" s="67">
        <v>1.74</v>
      </c>
      <c r="I19" s="67">
        <v>2.59</v>
      </c>
      <c r="J19" s="67">
        <v>1.03</v>
      </c>
      <c r="K19" s="67">
        <v>0.79</v>
      </c>
      <c r="L19" s="67">
        <v>6.15</v>
      </c>
      <c r="M19" s="67">
        <v>3.98</v>
      </c>
      <c r="N19" s="67">
        <v>6.13</v>
      </c>
      <c r="O19" s="67">
        <v>16.27</v>
      </c>
      <c r="P19" s="65">
        <f t="shared" si="0"/>
        <v>11.111111111111111</v>
      </c>
    </row>
    <row r="20" spans="1:16" x14ac:dyDescent="0.25">
      <c r="A20" s="62" t="s">
        <v>119</v>
      </c>
      <c r="B20" s="65">
        <f>(8*38)/12</f>
        <v>25.333333333333332</v>
      </c>
      <c r="C20" s="62" t="s">
        <v>103</v>
      </c>
      <c r="D20" s="63">
        <v>81500</v>
      </c>
      <c r="E20" s="64">
        <v>160</v>
      </c>
      <c r="F20" s="64">
        <v>8</v>
      </c>
      <c r="G20" s="84">
        <v>0.06</v>
      </c>
      <c r="H20" s="67">
        <v>1.1499999999999999</v>
      </c>
      <c r="I20" s="67">
        <v>1.72</v>
      </c>
      <c r="J20" s="67">
        <v>1.1399999999999999</v>
      </c>
      <c r="K20" s="67">
        <v>0.52</v>
      </c>
      <c r="L20" s="67">
        <v>4.5599999999999996</v>
      </c>
      <c r="M20" s="67">
        <v>4.43</v>
      </c>
      <c r="N20" s="67">
        <v>4.08</v>
      </c>
      <c r="O20" s="67">
        <v>13.08</v>
      </c>
      <c r="P20" s="65">
        <f t="shared" si="0"/>
        <v>16.666666666666668</v>
      </c>
    </row>
    <row r="21" spans="1:16" x14ac:dyDescent="0.25">
      <c r="A21" s="62" t="s">
        <v>120</v>
      </c>
      <c r="B21" s="65">
        <f>(12*38)/12</f>
        <v>38</v>
      </c>
      <c r="C21" s="62" t="s">
        <v>106</v>
      </c>
      <c r="D21" s="63">
        <v>81500</v>
      </c>
      <c r="E21" s="64">
        <v>160</v>
      </c>
      <c r="F21" s="64">
        <v>8</v>
      </c>
      <c r="G21" s="84">
        <v>0.06</v>
      </c>
      <c r="H21" s="67">
        <v>1.1499999999999999</v>
      </c>
      <c r="I21" s="67">
        <v>2.04</v>
      </c>
      <c r="J21" s="67">
        <v>1.1399999999999999</v>
      </c>
      <c r="K21" s="67">
        <v>0.56999999999999995</v>
      </c>
      <c r="L21" s="67">
        <v>4.92</v>
      </c>
      <c r="M21" s="67">
        <v>4.43</v>
      </c>
      <c r="N21" s="67">
        <v>4.45</v>
      </c>
      <c r="O21" s="67">
        <v>13.82</v>
      </c>
      <c r="P21" s="65">
        <f t="shared" si="0"/>
        <v>16.666666666666668</v>
      </c>
    </row>
    <row r="22" spans="1:16" x14ac:dyDescent="0.25">
      <c r="A22" s="62" t="s">
        <v>121</v>
      </c>
      <c r="B22" s="65">
        <f>(16*30)/12</f>
        <v>40</v>
      </c>
      <c r="C22" s="62" t="s">
        <v>106</v>
      </c>
      <c r="D22" s="63">
        <v>94300</v>
      </c>
      <c r="E22" s="64">
        <v>160</v>
      </c>
      <c r="F22" s="64">
        <v>8</v>
      </c>
      <c r="G22" s="84">
        <v>3.5000000000000003E-2</v>
      </c>
      <c r="H22" s="67">
        <v>0.67</v>
      </c>
      <c r="I22" s="67">
        <v>1.19</v>
      </c>
      <c r="J22" s="67">
        <v>0.77</v>
      </c>
      <c r="K22" s="67">
        <v>0.33</v>
      </c>
      <c r="L22" s="67">
        <v>2.98</v>
      </c>
      <c r="M22" s="67">
        <v>3</v>
      </c>
      <c r="N22" s="67">
        <v>2.6</v>
      </c>
      <c r="O22" s="67">
        <v>8.59</v>
      </c>
      <c r="P22" s="65">
        <f t="shared" si="0"/>
        <v>28.571428571428569</v>
      </c>
    </row>
    <row r="23" spans="1:16" x14ac:dyDescent="0.25">
      <c r="A23" s="62" t="s">
        <v>122</v>
      </c>
      <c r="B23" s="65">
        <f>(16*40)/12</f>
        <v>53.333333333333336</v>
      </c>
      <c r="C23" s="62" t="s">
        <v>109</v>
      </c>
      <c r="D23" s="63">
        <v>99200</v>
      </c>
      <c r="E23" s="64">
        <v>160</v>
      </c>
      <c r="F23" s="64">
        <v>8</v>
      </c>
      <c r="G23" s="84">
        <v>4.2999999999999997E-2</v>
      </c>
      <c r="H23" s="67">
        <v>0.83</v>
      </c>
      <c r="I23" s="67">
        <v>1.95</v>
      </c>
      <c r="J23" s="67">
        <v>1</v>
      </c>
      <c r="K23" s="67">
        <v>0.53</v>
      </c>
      <c r="L23" s="67">
        <v>4.32</v>
      </c>
      <c r="M23" s="67">
        <v>3.87</v>
      </c>
      <c r="N23" s="67">
        <v>4.1100000000000003</v>
      </c>
      <c r="O23" s="67">
        <v>12.3</v>
      </c>
      <c r="P23" s="65">
        <f t="shared" si="0"/>
        <v>23.255813953488374</v>
      </c>
    </row>
    <row r="24" spans="1:16" x14ac:dyDescent="0.25">
      <c r="A24" s="62" t="s">
        <v>123</v>
      </c>
      <c r="B24" s="65">
        <f>(8*38)/12</f>
        <v>25.333333333333332</v>
      </c>
      <c r="C24" s="62" t="s">
        <v>103</v>
      </c>
      <c r="D24" s="63">
        <v>31400</v>
      </c>
      <c r="E24" s="64">
        <v>160</v>
      </c>
      <c r="F24" s="64">
        <v>10</v>
      </c>
      <c r="G24" s="84">
        <v>9.5000000000000001E-2</v>
      </c>
      <c r="H24" s="67">
        <v>1.84</v>
      </c>
      <c r="I24" s="67">
        <v>2.75</v>
      </c>
      <c r="J24" s="67">
        <v>0.75</v>
      </c>
      <c r="K24" s="67">
        <v>0.84</v>
      </c>
      <c r="L24" s="67">
        <v>6.2</v>
      </c>
      <c r="M24" s="67">
        <v>2.48</v>
      </c>
      <c r="N24" s="67">
        <v>6.51</v>
      </c>
      <c r="O24" s="67">
        <v>15.2</v>
      </c>
      <c r="P24" s="65">
        <f t="shared" si="0"/>
        <v>10.526315789473685</v>
      </c>
    </row>
    <row r="25" spans="1:16" x14ac:dyDescent="0.25">
      <c r="A25" s="62" t="s">
        <v>124</v>
      </c>
      <c r="B25" s="65">
        <f>(12*30)/12</f>
        <v>30</v>
      </c>
      <c r="C25" s="62" t="s">
        <v>106</v>
      </c>
      <c r="D25" s="63">
        <v>37800</v>
      </c>
      <c r="E25" s="64">
        <v>160</v>
      </c>
      <c r="F25" s="64">
        <v>10</v>
      </c>
      <c r="G25" s="84">
        <v>0.08</v>
      </c>
      <c r="H25" s="67">
        <v>1.55</v>
      </c>
      <c r="I25" s="67">
        <v>2.75</v>
      </c>
      <c r="J25" s="67">
        <v>0.76</v>
      </c>
      <c r="K25" s="67">
        <v>0.77</v>
      </c>
      <c r="L25" s="67">
        <v>5.85</v>
      </c>
      <c r="M25" s="67">
        <v>2.52</v>
      </c>
      <c r="N25" s="67">
        <v>6</v>
      </c>
      <c r="O25" s="67">
        <v>14.38</v>
      </c>
      <c r="P25" s="65">
        <f t="shared" si="0"/>
        <v>12.5</v>
      </c>
    </row>
    <row r="26" spans="1:16" x14ac:dyDescent="0.25">
      <c r="A26" s="62" t="s">
        <v>125</v>
      </c>
      <c r="B26" s="65">
        <f>(12*38)/12</f>
        <v>38</v>
      </c>
      <c r="C26" s="62" t="s">
        <v>106</v>
      </c>
      <c r="D26" s="63">
        <v>60900</v>
      </c>
      <c r="E26" s="64">
        <v>160</v>
      </c>
      <c r="F26" s="64">
        <v>10</v>
      </c>
      <c r="G26" s="84">
        <v>6.3E-2</v>
      </c>
      <c r="H26" s="67">
        <v>1.23</v>
      </c>
      <c r="I26" s="67">
        <v>2.17</v>
      </c>
      <c r="J26" s="67">
        <v>0.97</v>
      </c>
      <c r="K26" s="67">
        <v>0.61</v>
      </c>
      <c r="L26" s="67">
        <v>4.9800000000000004</v>
      </c>
      <c r="M26" s="67">
        <v>3.21</v>
      </c>
      <c r="N26" s="67">
        <v>4.7300000000000004</v>
      </c>
      <c r="O26" s="67">
        <v>12.93</v>
      </c>
      <c r="P26" s="65">
        <f t="shared" si="0"/>
        <v>15.873015873015873</v>
      </c>
    </row>
    <row r="27" spans="1:16" x14ac:dyDescent="0.25">
      <c r="A27" s="62" t="s">
        <v>126</v>
      </c>
      <c r="B27" s="65">
        <f>(16*30)/12</f>
        <v>40</v>
      </c>
      <c r="C27" s="62" t="s">
        <v>106</v>
      </c>
      <c r="D27" s="63">
        <v>79500</v>
      </c>
      <c r="E27" s="64">
        <v>160</v>
      </c>
      <c r="F27" s="64">
        <v>10</v>
      </c>
      <c r="G27" s="84">
        <v>0.06</v>
      </c>
      <c r="H27" s="67">
        <v>1.1599999999999999</v>
      </c>
      <c r="I27" s="67">
        <v>2.06</v>
      </c>
      <c r="J27" s="67">
        <v>1.2</v>
      </c>
      <c r="K27" s="67">
        <v>0.57999999999999996</v>
      </c>
      <c r="L27" s="67">
        <v>5.0199999999999996</v>
      </c>
      <c r="M27" s="67">
        <v>3.98</v>
      </c>
      <c r="N27" s="67">
        <v>4.5</v>
      </c>
      <c r="O27" s="67">
        <v>13.5</v>
      </c>
      <c r="P27" s="65">
        <f t="shared" si="0"/>
        <v>16.666666666666668</v>
      </c>
    </row>
    <row r="28" spans="1:16" x14ac:dyDescent="0.25">
      <c r="A28" s="62" t="s">
        <v>127</v>
      </c>
      <c r="B28" s="65">
        <f>(8*38)/12</f>
        <v>25.333333333333332</v>
      </c>
      <c r="C28" s="62" t="s">
        <v>103</v>
      </c>
      <c r="D28" s="63">
        <v>25000</v>
      </c>
      <c r="E28" s="64">
        <v>160</v>
      </c>
      <c r="F28" s="64">
        <v>10</v>
      </c>
      <c r="G28" s="84">
        <v>9.5000000000000001E-2</v>
      </c>
      <c r="H28" s="67">
        <v>1.84</v>
      </c>
      <c r="I28" s="67">
        <v>2.75</v>
      </c>
      <c r="J28" s="67">
        <v>0.59</v>
      </c>
      <c r="K28" s="67">
        <v>0.84</v>
      </c>
      <c r="L28" s="67">
        <v>6.04</v>
      </c>
      <c r="M28" s="67">
        <v>1.98</v>
      </c>
      <c r="N28" s="67">
        <v>6.51</v>
      </c>
      <c r="O28" s="67">
        <v>14.54</v>
      </c>
      <c r="P28" s="65">
        <f t="shared" si="0"/>
        <v>10.526315789473685</v>
      </c>
    </row>
    <row r="29" spans="1:16" x14ac:dyDescent="0.25">
      <c r="A29" s="69" t="s">
        <v>128</v>
      </c>
      <c r="B29" s="72">
        <f>(4*30)/12</f>
        <v>10</v>
      </c>
      <c r="C29" s="69" t="s">
        <v>106</v>
      </c>
      <c r="D29" s="70">
        <v>27800</v>
      </c>
      <c r="E29" s="71">
        <v>150</v>
      </c>
      <c r="F29" s="71">
        <v>12</v>
      </c>
      <c r="G29" s="85">
        <v>0.20399999999999999</v>
      </c>
      <c r="H29" s="74">
        <v>3.93</v>
      </c>
      <c r="I29" s="74">
        <v>6.95</v>
      </c>
      <c r="J29" s="74">
        <v>2.0499999999999998</v>
      </c>
      <c r="K29" s="74">
        <v>1.96</v>
      </c>
      <c r="L29" s="74">
        <v>14.9</v>
      </c>
      <c r="M29" s="74">
        <v>4.57</v>
      </c>
      <c r="N29" s="74">
        <v>15.16</v>
      </c>
      <c r="O29" s="74">
        <v>34.64</v>
      </c>
      <c r="P29" s="72">
        <f t="shared" si="0"/>
        <v>4.9019607843137258</v>
      </c>
    </row>
    <row r="30" spans="1:16" x14ac:dyDescent="0.25">
      <c r="A30" s="69" t="s">
        <v>129</v>
      </c>
      <c r="B30" s="72">
        <f>(4*38)/12</f>
        <v>12.666666666666666</v>
      </c>
      <c r="C30" s="69" t="s">
        <v>106</v>
      </c>
      <c r="D30" s="70">
        <v>27800</v>
      </c>
      <c r="E30" s="71">
        <v>150</v>
      </c>
      <c r="F30" s="71">
        <v>12</v>
      </c>
      <c r="G30" s="85">
        <v>0.16</v>
      </c>
      <c r="H30" s="74">
        <v>3.1</v>
      </c>
      <c r="I30" s="74">
        <v>5.47</v>
      </c>
      <c r="J30" s="74">
        <v>1.61</v>
      </c>
      <c r="K30" s="74">
        <v>1.54</v>
      </c>
      <c r="L30" s="74">
        <v>11.73</v>
      </c>
      <c r="M30" s="74">
        <v>3.6</v>
      </c>
      <c r="N30" s="74">
        <v>11.93</v>
      </c>
      <c r="O30" s="74">
        <v>27.27</v>
      </c>
      <c r="P30" s="72">
        <f t="shared" si="0"/>
        <v>6.25</v>
      </c>
    </row>
    <row r="31" spans="1:16" x14ac:dyDescent="0.25">
      <c r="A31" s="69" t="s">
        <v>130</v>
      </c>
      <c r="B31" s="72">
        <f>(6*38)/12</f>
        <v>19</v>
      </c>
      <c r="C31" s="69" t="s">
        <v>106</v>
      </c>
      <c r="D31" s="70">
        <v>38000</v>
      </c>
      <c r="E31" s="71">
        <v>150</v>
      </c>
      <c r="F31" s="71">
        <v>12</v>
      </c>
      <c r="G31" s="85">
        <v>0.107</v>
      </c>
      <c r="H31" s="74">
        <v>2.0699999999999998</v>
      </c>
      <c r="I31" s="74">
        <v>3.66</v>
      </c>
      <c r="J31" s="74">
        <v>1.47</v>
      </c>
      <c r="K31" s="74">
        <v>1.03</v>
      </c>
      <c r="L31" s="74">
        <v>8.24</v>
      </c>
      <c r="M31" s="74">
        <v>3.29</v>
      </c>
      <c r="N31" s="74">
        <v>7.97</v>
      </c>
      <c r="O31" s="74">
        <v>19.510000000000002</v>
      </c>
      <c r="P31" s="72">
        <f t="shared" si="0"/>
        <v>9.3457943925233646</v>
      </c>
    </row>
    <row r="32" spans="1:16" x14ac:dyDescent="0.25">
      <c r="A32" s="62" t="s">
        <v>131</v>
      </c>
      <c r="B32" s="65">
        <f>(6*38)/12</f>
        <v>19</v>
      </c>
      <c r="C32" s="62" t="s">
        <v>106</v>
      </c>
      <c r="D32" s="63">
        <v>44500</v>
      </c>
      <c r="E32" s="64">
        <v>150</v>
      </c>
      <c r="F32" s="64">
        <v>12</v>
      </c>
      <c r="G32" s="84">
        <v>0.107</v>
      </c>
      <c r="H32" s="67">
        <v>2.0699999999999998</v>
      </c>
      <c r="I32" s="67">
        <v>3.66</v>
      </c>
      <c r="J32" s="67">
        <v>1.72</v>
      </c>
      <c r="K32" s="67">
        <v>1.03</v>
      </c>
      <c r="L32" s="67">
        <v>8.49</v>
      </c>
      <c r="M32" s="67">
        <v>3.85</v>
      </c>
      <c r="N32" s="67">
        <v>7.97</v>
      </c>
      <c r="O32" s="67">
        <v>20.32</v>
      </c>
      <c r="P32" s="65">
        <f t="shared" si="0"/>
        <v>9.3457943925233646</v>
      </c>
    </row>
    <row r="33" spans="1:16" x14ac:dyDescent="0.25">
      <c r="A33" s="62" t="s">
        <v>132</v>
      </c>
      <c r="B33" s="65">
        <f>(8*38)/12</f>
        <v>25.333333333333332</v>
      </c>
      <c r="C33" s="62" t="s">
        <v>106</v>
      </c>
      <c r="D33" s="63">
        <v>59000</v>
      </c>
      <c r="E33" s="64">
        <v>150</v>
      </c>
      <c r="F33" s="64">
        <v>12</v>
      </c>
      <c r="G33" s="84">
        <v>0.08</v>
      </c>
      <c r="H33" s="67">
        <v>1.55</v>
      </c>
      <c r="I33" s="67">
        <v>2.74</v>
      </c>
      <c r="J33" s="67">
        <v>1.72</v>
      </c>
      <c r="K33" s="67">
        <v>0.77</v>
      </c>
      <c r="L33" s="67">
        <v>6.8</v>
      </c>
      <c r="M33" s="67">
        <v>3.83</v>
      </c>
      <c r="N33" s="67">
        <v>5.99</v>
      </c>
      <c r="O33" s="67">
        <v>16.63</v>
      </c>
      <c r="P33" s="65">
        <f t="shared" si="0"/>
        <v>12.5</v>
      </c>
    </row>
    <row r="34" spans="1:16" x14ac:dyDescent="0.25">
      <c r="A34" s="62" t="s">
        <v>133</v>
      </c>
      <c r="B34" s="65">
        <f>(8*38)/12</f>
        <v>25.333333333333332</v>
      </c>
      <c r="C34" s="62" t="s">
        <v>103</v>
      </c>
      <c r="D34" s="63">
        <v>72400</v>
      </c>
      <c r="E34" s="64">
        <v>300</v>
      </c>
      <c r="F34" s="64">
        <v>20</v>
      </c>
      <c r="G34" s="84">
        <v>7.2999999999999995E-2</v>
      </c>
      <c r="H34" s="67">
        <v>1.4</v>
      </c>
      <c r="I34" s="67">
        <v>2.1</v>
      </c>
      <c r="J34" s="67">
        <v>0.26</v>
      </c>
      <c r="K34" s="67">
        <v>0.64</v>
      </c>
      <c r="L34" s="67">
        <v>4.41</v>
      </c>
      <c r="M34" s="67">
        <v>1.75</v>
      </c>
      <c r="N34" s="67">
        <v>4.96</v>
      </c>
      <c r="O34" s="67">
        <v>11.13</v>
      </c>
      <c r="P34" s="65">
        <f t="shared" si="0"/>
        <v>13.698630136986303</v>
      </c>
    </row>
    <row r="35" spans="1:16" x14ac:dyDescent="0.25">
      <c r="A35" s="62" t="s">
        <v>134</v>
      </c>
      <c r="B35" s="65">
        <f>(12*30)/12</f>
        <v>30</v>
      </c>
      <c r="C35" s="62" t="s">
        <v>106</v>
      </c>
      <c r="D35" s="63">
        <v>102000</v>
      </c>
      <c r="E35" s="64">
        <v>300</v>
      </c>
      <c r="F35" s="64">
        <v>20</v>
      </c>
      <c r="G35" s="84">
        <v>6.0999999999999999E-2</v>
      </c>
      <c r="H35" s="67">
        <v>1.18</v>
      </c>
      <c r="I35" s="67">
        <v>2.09</v>
      </c>
      <c r="J35" s="67">
        <v>0.31</v>
      </c>
      <c r="K35" s="67">
        <v>0.59</v>
      </c>
      <c r="L35" s="67">
        <v>4.1900000000000004</v>
      </c>
      <c r="M35" s="67">
        <v>2.08</v>
      </c>
      <c r="N35" s="67">
        <v>4.57</v>
      </c>
      <c r="O35" s="67">
        <v>10.84</v>
      </c>
      <c r="P35" s="65">
        <f t="shared" si="0"/>
        <v>16.393442622950818</v>
      </c>
    </row>
    <row r="36" spans="1:16" x14ac:dyDescent="0.25">
      <c r="A36" s="62" t="s">
        <v>135</v>
      </c>
      <c r="B36" s="65">
        <f>(12*38)/12</f>
        <v>38</v>
      </c>
      <c r="C36" s="62" t="s">
        <v>106</v>
      </c>
      <c r="D36" s="63">
        <v>102000</v>
      </c>
      <c r="E36" s="64">
        <v>300</v>
      </c>
      <c r="F36" s="64">
        <v>20</v>
      </c>
      <c r="G36" s="84">
        <v>4.5999999999999999E-2</v>
      </c>
      <c r="H36" s="67">
        <v>0.89</v>
      </c>
      <c r="I36" s="67">
        <v>1.57</v>
      </c>
      <c r="J36" s="67">
        <v>0.23</v>
      </c>
      <c r="K36" s="67">
        <v>0.44</v>
      </c>
      <c r="L36" s="67">
        <v>3.14</v>
      </c>
      <c r="M36" s="67">
        <v>1.56</v>
      </c>
      <c r="N36" s="67">
        <v>3.42</v>
      </c>
      <c r="O36" s="67">
        <v>8.1300000000000008</v>
      </c>
      <c r="P36" s="65">
        <f t="shared" si="0"/>
        <v>21.739130434782609</v>
      </c>
    </row>
    <row r="37" spans="1:16" x14ac:dyDescent="0.25">
      <c r="A37" s="62" t="s">
        <v>136</v>
      </c>
      <c r="B37" s="65">
        <f>(4*30)/12</f>
        <v>10</v>
      </c>
      <c r="C37" s="62" t="s">
        <v>103</v>
      </c>
      <c r="D37" s="63">
        <v>32100</v>
      </c>
      <c r="E37" s="64">
        <v>300</v>
      </c>
      <c r="F37" s="64">
        <v>20</v>
      </c>
      <c r="G37" s="84">
        <v>0.184</v>
      </c>
      <c r="H37" s="67">
        <v>3.56</v>
      </c>
      <c r="I37" s="67">
        <v>5.31</v>
      </c>
      <c r="J37" s="67">
        <v>0.28999999999999998</v>
      </c>
      <c r="K37" s="67">
        <v>1.62</v>
      </c>
      <c r="L37" s="67">
        <v>10.79</v>
      </c>
      <c r="M37" s="67">
        <v>1.96</v>
      </c>
      <c r="N37" s="67">
        <v>12.55</v>
      </c>
      <c r="O37" s="67">
        <v>25.32</v>
      </c>
      <c r="P37" s="65">
        <f t="shared" si="0"/>
        <v>5.4347826086956523</v>
      </c>
    </row>
    <row r="38" spans="1:16" x14ac:dyDescent="0.25">
      <c r="A38" s="62" t="s">
        <v>137</v>
      </c>
      <c r="B38" s="65">
        <f>(4*38)/12</f>
        <v>12.666666666666666</v>
      </c>
      <c r="C38" s="62" t="s">
        <v>103</v>
      </c>
      <c r="D38" s="63">
        <v>32100</v>
      </c>
      <c r="E38" s="64">
        <v>300</v>
      </c>
      <c r="F38" s="64">
        <v>20</v>
      </c>
      <c r="G38" s="84">
        <v>0.14599999999999999</v>
      </c>
      <c r="H38" s="67">
        <v>2.82</v>
      </c>
      <c r="I38" s="67">
        <v>4.21</v>
      </c>
      <c r="J38" s="67">
        <v>0.23</v>
      </c>
      <c r="K38" s="67">
        <v>1.28</v>
      </c>
      <c r="L38" s="67">
        <v>8.57</v>
      </c>
      <c r="M38" s="67">
        <v>1.56</v>
      </c>
      <c r="N38" s="67">
        <v>9.9600000000000009</v>
      </c>
      <c r="O38" s="67">
        <v>20.09</v>
      </c>
      <c r="P38" s="65">
        <f t="shared" si="0"/>
        <v>6.8493150684931514</v>
      </c>
    </row>
    <row r="39" spans="1:16" x14ac:dyDescent="0.25">
      <c r="A39" s="62" t="s">
        <v>138</v>
      </c>
      <c r="B39" s="65">
        <f>(6*30)/12</f>
        <v>15</v>
      </c>
      <c r="C39" s="62" t="s">
        <v>103</v>
      </c>
      <c r="D39" s="63">
        <v>44500</v>
      </c>
      <c r="E39" s="64">
        <v>300</v>
      </c>
      <c r="F39" s="64">
        <v>20</v>
      </c>
      <c r="G39" s="84">
        <v>0.123</v>
      </c>
      <c r="H39" s="67">
        <v>2.37</v>
      </c>
      <c r="I39" s="67">
        <v>3.54</v>
      </c>
      <c r="J39" s="67">
        <v>0.27</v>
      </c>
      <c r="K39" s="67">
        <v>1.08</v>
      </c>
      <c r="L39" s="67">
        <v>7.27</v>
      </c>
      <c r="M39" s="67">
        <v>1.81</v>
      </c>
      <c r="N39" s="67">
        <v>8.3699999999999992</v>
      </c>
      <c r="O39" s="67">
        <v>17.46</v>
      </c>
      <c r="P39" s="65">
        <f t="shared" si="0"/>
        <v>8.1300813008130088</v>
      </c>
    </row>
    <row r="40" spans="1:16" x14ac:dyDescent="0.25">
      <c r="A40" s="62" t="s">
        <v>139</v>
      </c>
      <c r="B40" s="65">
        <f>(6*38)/12</f>
        <v>19</v>
      </c>
      <c r="C40" s="62" t="s">
        <v>103</v>
      </c>
      <c r="D40" s="63">
        <v>44500</v>
      </c>
      <c r="E40" s="64">
        <v>300</v>
      </c>
      <c r="F40" s="64">
        <v>20</v>
      </c>
      <c r="G40" s="84">
        <v>9.7000000000000003E-2</v>
      </c>
      <c r="H40" s="67">
        <v>1.87</v>
      </c>
      <c r="I40" s="67">
        <v>2.79</v>
      </c>
      <c r="J40" s="67">
        <v>0.21</v>
      </c>
      <c r="K40" s="67">
        <v>0.85</v>
      </c>
      <c r="L40" s="67">
        <v>5.74</v>
      </c>
      <c r="M40" s="67">
        <v>1.43</v>
      </c>
      <c r="N40" s="67">
        <v>6.6</v>
      </c>
      <c r="O40" s="67">
        <v>13.78</v>
      </c>
      <c r="P40" s="65">
        <f t="shared" si="0"/>
        <v>10.309278350515463</v>
      </c>
    </row>
    <row r="41" spans="1:16" x14ac:dyDescent="0.25">
      <c r="A41" s="62" t="s">
        <v>140</v>
      </c>
      <c r="B41" s="65">
        <f>(8*30)/12</f>
        <v>20</v>
      </c>
      <c r="C41" s="62" t="s">
        <v>103</v>
      </c>
      <c r="D41" s="63">
        <v>59000</v>
      </c>
      <c r="E41" s="64">
        <v>300</v>
      </c>
      <c r="F41" s="64">
        <v>20</v>
      </c>
      <c r="G41" s="84">
        <v>0.13900000000000001</v>
      </c>
      <c r="H41" s="67">
        <v>2.67</v>
      </c>
      <c r="I41" s="67">
        <v>3.99</v>
      </c>
      <c r="J41" s="67">
        <v>0.41</v>
      </c>
      <c r="K41" s="67">
        <v>1.22</v>
      </c>
      <c r="L41" s="67">
        <v>8.3000000000000007</v>
      </c>
      <c r="M41" s="67">
        <v>2.71</v>
      </c>
      <c r="N41" s="67">
        <v>9.44</v>
      </c>
      <c r="O41" s="67">
        <v>20.46</v>
      </c>
      <c r="P41" s="65">
        <f t="shared" si="0"/>
        <v>7.1942446043165464</v>
      </c>
    </row>
    <row r="42" spans="1:16" x14ac:dyDescent="0.25">
      <c r="A42" s="62" t="s">
        <v>141</v>
      </c>
      <c r="B42" s="65">
        <f>(8*38)/12</f>
        <v>25.333333333333332</v>
      </c>
      <c r="C42" s="62" t="s">
        <v>103</v>
      </c>
      <c r="D42" s="63">
        <v>59000</v>
      </c>
      <c r="E42" s="64">
        <v>300</v>
      </c>
      <c r="F42" s="64">
        <v>20</v>
      </c>
      <c r="G42" s="84">
        <v>7.2999999999999995E-2</v>
      </c>
      <c r="H42" s="67">
        <v>1.4</v>
      </c>
      <c r="I42" s="67">
        <v>2.1</v>
      </c>
      <c r="J42" s="67">
        <v>0.21</v>
      </c>
      <c r="K42" s="67">
        <v>0.64</v>
      </c>
      <c r="L42" s="67">
        <v>4.3600000000000003</v>
      </c>
      <c r="M42" s="67">
        <v>1.42</v>
      </c>
      <c r="N42" s="67">
        <v>4.96</v>
      </c>
      <c r="O42" s="67">
        <v>10.75</v>
      </c>
      <c r="P42" s="65">
        <f t="shared" si="0"/>
        <v>13.698630136986303</v>
      </c>
    </row>
    <row r="43" spans="1:16" x14ac:dyDescent="0.25">
      <c r="A43" s="69" t="s">
        <v>142</v>
      </c>
      <c r="B43" s="72">
        <f>(8*38)/12</f>
        <v>25.333333333333332</v>
      </c>
      <c r="C43" s="69" t="s">
        <v>106</v>
      </c>
      <c r="D43" s="70">
        <v>72400</v>
      </c>
      <c r="E43" s="71">
        <v>150</v>
      </c>
      <c r="F43" s="71">
        <v>12</v>
      </c>
      <c r="G43" s="85">
        <v>0.08</v>
      </c>
      <c r="H43" s="74">
        <v>1.55</v>
      </c>
      <c r="I43" s="74">
        <v>2.74</v>
      </c>
      <c r="J43" s="74">
        <v>2.11</v>
      </c>
      <c r="K43" s="74">
        <v>0.77</v>
      </c>
      <c r="L43" s="74">
        <v>7.19</v>
      </c>
      <c r="M43" s="74">
        <v>4.7</v>
      </c>
      <c r="N43" s="74">
        <v>5.99</v>
      </c>
      <c r="O43" s="74">
        <v>17.89</v>
      </c>
      <c r="P43" s="72">
        <f t="shared" si="0"/>
        <v>12.5</v>
      </c>
    </row>
    <row r="44" spans="1:16" x14ac:dyDescent="0.25">
      <c r="A44" s="69" t="s">
        <v>143</v>
      </c>
      <c r="B44" s="72">
        <f>(8*38)/12</f>
        <v>25.333333333333332</v>
      </c>
      <c r="C44" s="69" t="s">
        <v>106</v>
      </c>
      <c r="D44" s="70">
        <v>102600</v>
      </c>
      <c r="E44" s="71">
        <v>150</v>
      </c>
      <c r="F44" s="71">
        <v>12</v>
      </c>
      <c r="G44" s="85">
        <v>5.2999999999999999E-2</v>
      </c>
      <c r="H44" s="74">
        <v>1.03</v>
      </c>
      <c r="I44" s="74">
        <v>1.83</v>
      </c>
      <c r="J44" s="74">
        <v>1.99</v>
      </c>
      <c r="K44" s="74">
        <v>0.51</v>
      </c>
      <c r="L44" s="74">
        <v>5.37</v>
      </c>
      <c r="M44" s="74">
        <v>4.4400000000000004</v>
      </c>
      <c r="N44" s="74">
        <v>3.98</v>
      </c>
      <c r="O44" s="74">
        <v>13.8</v>
      </c>
      <c r="P44" s="72">
        <f t="shared" si="0"/>
        <v>18.867924528301888</v>
      </c>
    </row>
    <row r="45" spans="1:16" x14ac:dyDescent="0.25">
      <c r="A45" s="69" t="s">
        <v>144</v>
      </c>
      <c r="B45" s="72">
        <f>(12*38)/12</f>
        <v>38</v>
      </c>
      <c r="C45" s="69" t="s">
        <v>106</v>
      </c>
      <c r="D45" s="70">
        <v>102600</v>
      </c>
      <c r="E45" s="71">
        <v>150</v>
      </c>
      <c r="F45" s="71">
        <v>12</v>
      </c>
      <c r="G45" s="85">
        <v>5.2999999999999999E-2</v>
      </c>
      <c r="H45" s="74">
        <v>1.03</v>
      </c>
      <c r="I45" s="74">
        <v>1.83</v>
      </c>
      <c r="J45" s="74">
        <v>1.99</v>
      </c>
      <c r="K45" s="74">
        <v>0.51</v>
      </c>
      <c r="L45" s="74">
        <v>5.37</v>
      </c>
      <c r="M45" s="74">
        <v>4.4400000000000004</v>
      </c>
      <c r="N45" s="74">
        <v>3.98</v>
      </c>
      <c r="O45" s="74">
        <v>13.8</v>
      </c>
      <c r="P45" s="72">
        <f t="shared" si="0"/>
        <v>18.867924528301888</v>
      </c>
    </row>
    <row r="46" spans="1:16" x14ac:dyDescent="0.25">
      <c r="A46" s="69" t="s">
        <v>145</v>
      </c>
      <c r="B46" s="72">
        <f>(4*30)/12</f>
        <v>10</v>
      </c>
      <c r="C46" s="69" t="s">
        <v>106</v>
      </c>
      <c r="D46" s="70">
        <v>26100</v>
      </c>
      <c r="E46" s="71">
        <v>150</v>
      </c>
      <c r="F46" s="71">
        <v>12</v>
      </c>
      <c r="G46" s="85">
        <v>0.20399999999999999</v>
      </c>
      <c r="H46" s="74">
        <v>3.93</v>
      </c>
      <c r="I46" s="74">
        <v>6.95</v>
      </c>
      <c r="J46" s="74">
        <v>1.92</v>
      </c>
      <c r="K46" s="74">
        <v>1.96</v>
      </c>
      <c r="L46" s="74">
        <v>14.78</v>
      </c>
      <c r="M46" s="74">
        <v>4.29</v>
      </c>
      <c r="N46" s="74">
        <v>15.16</v>
      </c>
      <c r="O46" s="74">
        <v>34.229999999999997</v>
      </c>
      <c r="P46" s="72">
        <f t="shared" si="0"/>
        <v>4.9019607843137258</v>
      </c>
    </row>
    <row r="47" spans="1:16" x14ac:dyDescent="0.25">
      <c r="A47" s="69" t="s">
        <v>146</v>
      </c>
      <c r="B47" s="72">
        <f>(4*38)/12</f>
        <v>12.666666666666666</v>
      </c>
      <c r="C47" s="69" t="s">
        <v>106</v>
      </c>
      <c r="D47" s="70">
        <v>27800</v>
      </c>
      <c r="E47" s="71">
        <v>150</v>
      </c>
      <c r="F47" s="71">
        <v>12</v>
      </c>
      <c r="G47" s="85">
        <v>0.16</v>
      </c>
      <c r="H47" s="74">
        <v>3.1</v>
      </c>
      <c r="I47" s="74">
        <v>5.47</v>
      </c>
      <c r="J47" s="74">
        <v>1.61</v>
      </c>
      <c r="K47" s="74">
        <v>1.54</v>
      </c>
      <c r="L47" s="74">
        <v>11.73</v>
      </c>
      <c r="M47" s="74">
        <v>3.6</v>
      </c>
      <c r="N47" s="74">
        <v>11.93</v>
      </c>
      <c r="O47" s="74">
        <v>27.27</v>
      </c>
      <c r="P47" s="72">
        <f t="shared" si="0"/>
        <v>6.25</v>
      </c>
    </row>
    <row r="48" spans="1:16" x14ac:dyDescent="0.25">
      <c r="A48" s="69" t="s">
        <v>147</v>
      </c>
      <c r="B48" s="72">
        <f>(6*30)/12</f>
        <v>15</v>
      </c>
      <c r="C48" s="69" t="s">
        <v>106</v>
      </c>
      <c r="D48" s="70">
        <v>36300</v>
      </c>
      <c r="E48" s="71">
        <v>150</v>
      </c>
      <c r="F48" s="71">
        <v>12</v>
      </c>
      <c r="G48" s="85">
        <v>0.13600000000000001</v>
      </c>
      <c r="H48" s="74">
        <v>2.62</v>
      </c>
      <c r="I48" s="74">
        <v>4.63</v>
      </c>
      <c r="J48" s="74">
        <v>1.78</v>
      </c>
      <c r="K48" s="74">
        <v>1.3</v>
      </c>
      <c r="L48" s="74">
        <v>10.35</v>
      </c>
      <c r="M48" s="74">
        <v>3.98</v>
      </c>
      <c r="N48" s="74">
        <v>10.1</v>
      </c>
      <c r="O48" s="74">
        <v>24.44</v>
      </c>
      <c r="P48" s="72">
        <f t="shared" si="0"/>
        <v>7.3529411764705879</v>
      </c>
    </row>
    <row r="49" spans="1:16" x14ac:dyDescent="0.25">
      <c r="A49" s="69" t="s">
        <v>148</v>
      </c>
      <c r="B49" s="72">
        <f>(6*38)/12</f>
        <v>19</v>
      </c>
      <c r="C49" s="69" t="s">
        <v>106</v>
      </c>
      <c r="D49" s="70">
        <v>37700</v>
      </c>
      <c r="E49" s="71">
        <v>150</v>
      </c>
      <c r="F49" s="71">
        <v>12</v>
      </c>
      <c r="G49" s="85">
        <v>0.107</v>
      </c>
      <c r="H49" s="74">
        <v>2.0699999999999998</v>
      </c>
      <c r="I49" s="74">
        <v>3.66</v>
      </c>
      <c r="J49" s="74">
        <v>1.46</v>
      </c>
      <c r="K49" s="74">
        <v>1.03</v>
      </c>
      <c r="L49" s="74">
        <v>8.23</v>
      </c>
      <c r="M49" s="74">
        <v>3.26</v>
      </c>
      <c r="N49" s="74">
        <v>7.97</v>
      </c>
      <c r="O49" s="74">
        <v>19.47</v>
      </c>
      <c r="P49" s="72">
        <f t="shared" si="0"/>
        <v>9.3457943925233646</v>
      </c>
    </row>
    <row r="50" spans="1:16" x14ac:dyDescent="0.25">
      <c r="A50" s="69" t="s">
        <v>149</v>
      </c>
      <c r="B50" s="72">
        <f>(8*30)/12</f>
        <v>20</v>
      </c>
      <c r="C50" s="69" t="s">
        <v>106</v>
      </c>
      <c r="D50" s="70">
        <v>48500</v>
      </c>
      <c r="E50" s="71">
        <v>150</v>
      </c>
      <c r="F50" s="71">
        <v>12</v>
      </c>
      <c r="G50" s="85">
        <v>0.10199999999999999</v>
      </c>
      <c r="H50" s="74">
        <v>1.96</v>
      </c>
      <c r="I50" s="74">
        <v>3.47</v>
      </c>
      <c r="J50" s="74">
        <v>1.78</v>
      </c>
      <c r="K50" s="74">
        <v>0.98</v>
      </c>
      <c r="L50" s="74">
        <v>8.2100000000000009</v>
      </c>
      <c r="M50" s="74">
        <v>3.99</v>
      </c>
      <c r="N50" s="74">
        <v>7.58</v>
      </c>
      <c r="O50" s="74">
        <v>19.79</v>
      </c>
      <c r="P50" s="72">
        <f t="shared" si="0"/>
        <v>9.8039215686274517</v>
      </c>
    </row>
    <row r="51" spans="1:16" x14ac:dyDescent="0.25">
      <c r="A51" s="69" t="s">
        <v>150</v>
      </c>
      <c r="B51" s="72">
        <f>(8*38)/12</f>
        <v>25.333333333333332</v>
      </c>
      <c r="C51" s="69" t="s">
        <v>106</v>
      </c>
      <c r="D51" s="70">
        <v>50100</v>
      </c>
      <c r="E51" s="71">
        <v>150</v>
      </c>
      <c r="F51" s="71">
        <v>12</v>
      </c>
      <c r="G51" s="85">
        <v>0.08</v>
      </c>
      <c r="H51" s="74">
        <v>1.55</v>
      </c>
      <c r="I51" s="74">
        <v>2.74</v>
      </c>
      <c r="J51" s="74">
        <v>1.46</v>
      </c>
      <c r="K51" s="74">
        <v>0.77</v>
      </c>
      <c r="L51" s="74">
        <v>6.54</v>
      </c>
      <c r="M51" s="74">
        <v>3.25</v>
      </c>
      <c r="N51" s="74">
        <v>5.99</v>
      </c>
      <c r="O51" s="74">
        <v>15.79</v>
      </c>
      <c r="P51" s="72">
        <f t="shared" si="0"/>
        <v>12.5</v>
      </c>
    </row>
    <row r="52" spans="1:16" x14ac:dyDescent="0.25">
      <c r="A52" s="62" t="s">
        <v>151</v>
      </c>
      <c r="B52" s="65">
        <f>(4*38)/12</f>
        <v>12.666666666666666</v>
      </c>
      <c r="C52" s="62" t="s">
        <v>103</v>
      </c>
      <c r="D52" s="63">
        <v>30500</v>
      </c>
      <c r="E52" s="64">
        <v>200</v>
      </c>
      <c r="F52" s="64">
        <v>10</v>
      </c>
      <c r="G52" s="84">
        <v>0.25700000000000001</v>
      </c>
      <c r="H52" s="67">
        <v>4.97</v>
      </c>
      <c r="I52" s="67">
        <v>7.41</v>
      </c>
      <c r="J52" s="67">
        <v>1.96</v>
      </c>
      <c r="K52" s="67">
        <v>2.2599999999999998</v>
      </c>
      <c r="L52" s="67">
        <v>16.61</v>
      </c>
      <c r="M52" s="67">
        <v>5.0599999999999996</v>
      </c>
      <c r="N52" s="67">
        <v>17.5</v>
      </c>
      <c r="O52" s="67">
        <v>39.18</v>
      </c>
      <c r="P52" s="65">
        <f t="shared" si="0"/>
        <v>3.8910505836575875</v>
      </c>
    </row>
    <row r="53" spans="1:16" x14ac:dyDescent="0.25">
      <c r="A53" s="62" t="s">
        <v>152</v>
      </c>
      <c r="B53" s="65">
        <f>(4*38)/12</f>
        <v>12.666666666666666</v>
      </c>
      <c r="C53" s="62" t="s">
        <v>103</v>
      </c>
      <c r="D53" s="63">
        <v>30500</v>
      </c>
      <c r="E53" s="64">
        <v>200</v>
      </c>
      <c r="F53" s="64">
        <v>10</v>
      </c>
      <c r="G53" s="84">
        <v>0.25700000000000001</v>
      </c>
      <c r="H53" s="67">
        <v>4.97</v>
      </c>
      <c r="I53" s="67">
        <v>7.41</v>
      </c>
      <c r="J53" s="67">
        <v>1.96</v>
      </c>
      <c r="K53" s="67">
        <v>2.2599999999999998</v>
      </c>
      <c r="L53" s="67">
        <v>16.61</v>
      </c>
      <c r="M53" s="67">
        <v>5.0599999999999996</v>
      </c>
      <c r="N53" s="67">
        <v>17.5</v>
      </c>
      <c r="O53" s="67">
        <v>39.18</v>
      </c>
      <c r="P53" s="65">
        <f t="shared" si="0"/>
        <v>3.8910505836575875</v>
      </c>
    </row>
    <row r="54" spans="1:16" x14ac:dyDescent="0.25">
      <c r="A54" s="62" t="s">
        <v>153</v>
      </c>
      <c r="B54" s="65">
        <f>(4*38)/12</f>
        <v>12.666666666666666</v>
      </c>
      <c r="C54" s="62" t="s">
        <v>103</v>
      </c>
      <c r="D54" s="63">
        <v>30500</v>
      </c>
      <c r="E54" s="64">
        <v>200</v>
      </c>
      <c r="F54" s="64">
        <v>10</v>
      </c>
      <c r="G54" s="84">
        <v>0.17199999999999999</v>
      </c>
      <c r="H54" s="67">
        <v>3.32</v>
      </c>
      <c r="I54" s="67">
        <v>4.95</v>
      </c>
      <c r="J54" s="67">
        <v>1.31</v>
      </c>
      <c r="K54" s="67">
        <v>1.51</v>
      </c>
      <c r="L54" s="67">
        <v>11.1</v>
      </c>
      <c r="M54" s="67">
        <v>3.38</v>
      </c>
      <c r="N54" s="67">
        <v>11.7</v>
      </c>
      <c r="O54" s="67">
        <v>26.19</v>
      </c>
      <c r="P54" s="65">
        <f t="shared" si="0"/>
        <v>5.8139534883720936</v>
      </c>
    </row>
    <row r="55" spans="1:16" x14ac:dyDescent="0.25">
      <c r="A55" s="62" t="s">
        <v>154</v>
      </c>
      <c r="B55" s="65">
        <f>(6*30)/12</f>
        <v>15</v>
      </c>
      <c r="C55" s="62" t="s">
        <v>103</v>
      </c>
      <c r="D55" s="63">
        <v>30500</v>
      </c>
      <c r="E55" s="64">
        <v>200</v>
      </c>
      <c r="F55" s="64">
        <v>10</v>
      </c>
      <c r="G55" s="84">
        <v>0.218</v>
      </c>
      <c r="H55" s="67">
        <v>4.2</v>
      </c>
      <c r="I55" s="67">
        <v>6.27</v>
      </c>
      <c r="J55" s="67">
        <v>1.66</v>
      </c>
      <c r="K55" s="67">
        <v>1.91</v>
      </c>
      <c r="L55" s="67">
        <v>14.06</v>
      </c>
      <c r="M55" s="67">
        <v>4.28</v>
      </c>
      <c r="N55" s="67">
        <v>14.82</v>
      </c>
      <c r="O55" s="67">
        <v>33.17</v>
      </c>
      <c r="P55" s="65">
        <f t="shared" si="0"/>
        <v>4.5871559633027523</v>
      </c>
    </row>
    <row r="56" spans="1:16" x14ac:dyDescent="0.25">
      <c r="A56" s="62" t="s">
        <v>155</v>
      </c>
      <c r="B56" s="65">
        <f>(6*38)/12</f>
        <v>19</v>
      </c>
      <c r="C56" s="62" t="s">
        <v>103</v>
      </c>
      <c r="D56" s="63">
        <v>30500</v>
      </c>
      <c r="E56" s="64">
        <v>200</v>
      </c>
      <c r="F56" s="64">
        <v>10</v>
      </c>
      <c r="G56" s="84">
        <v>0.17199999999999999</v>
      </c>
      <c r="H56" s="67">
        <v>3.32</v>
      </c>
      <c r="I56" s="67">
        <v>4.95</v>
      </c>
      <c r="J56" s="67">
        <v>1.31</v>
      </c>
      <c r="K56" s="67">
        <v>1.51</v>
      </c>
      <c r="L56" s="67">
        <v>11.1</v>
      </c>
      <c r="M56" s="67">
        <v>3.38</v>
      </c>
      <c r="N56" s="67">
        <v>11.7</v>
      </c>
      <c r="O56" s="67">
        <v>26.19</v>
      </c>
      <c r="P56" s="65">
        <f t="shared" si="0"/>
        <v>5.8139534883720936</v>
      </c>
    </row>
    <row r="57" spans="1:16" x14ac:dyDescent="0.25">
      <c r="A57" s="69" t="s">
        <v>156</v>
      </c>
      <c r="B57" s="72">
        <v>6</v>
      </c>
      <c r="C57" s="69" t="s">
        <v>157</v>
      </c>
      <c r="D57" s="70">
        <v>2120</v>
      </c>
      <c r="E57" s="71">
        <v>200</v>
      </c>
      <c r="F57" s="71">
        <v>20</v>
      </c>
      <c r="G57" s="85">
        <v>0.02</v>
      </c>
      <c r="H57" s="74">
        <v>0.38</v>
      </c>
      <c r="I57" s="74">
        <v>0.31</v>
      </c>
      <c r="J57" s="74">
        <v>0.02</v>
      </c>
      <c r="K57" s="74">
        <v>0.06</v>
      </c>
      <c r="L57" s="74">
        <v>0.79</v>
      </c>
      <c r="M57" s="74">
        <v>0.02</v>
      </c>
      <c r="N57" s="74">
        <v>0.51</v>
      </c>
      <c r="O57" s="74">
        <v>1.33</v>
      </c>
      <c r="P57" s="72">
        <f t="shared" si="0"/>
        <v>50</v>
      </c>
    </row>
    <row r="58" spans="1:16" x14ac:dyDescent="0.25">
      <c r="A58" s="62" t="s">
        <v>158</v>
      </c>
      <c r="B58" s="65">
        <v>24</v>
      </c>
      <c r="C58" s="62" t="s">
        <v>103</v>
      </c>
      <c r="D58" s="63">
        <v>62100</v>
      </c>
      <c r="E58" s="64">
        <v>150</v>
      </c>
      <c r="F58" s="64">
        <v>12</v>
      </c>
      <c r="G58" s="84">
        <v>7.5999999999999998E-2</v>
      </c>
      <c r="H58" s="67">
        <v>1.47</v>
      </c>
      <c r="I58" s="67">
        <v>2.19</v>
      </c>
      <c r="J58" s="67">
        <v>1.71</v>
      </c>
      <c r="K58" s="67">
        <v>0.67</v>
      </c>
      <c r="L58" s="67">
        <v>6.05</v>
      </c>
      <c r="M58" s="67">
        <v>3.82</v>
      </c>
      <c r="N58" s="67">
        <v>5.19</v>
      </c>
      <c r="O58" s="67">
        <v>15.07</v>
      </c>
      <c r="P58" s="65">
        <f t="shared" si="0"/>
        <v>13.157894736842106</v>
      </c>
    </row>
    <row r="59" spans="1:16" x14ac:dyDescent="0.25">
      <c r="A59" s="62" t="s">
        <v>159</v>
      </c>
      <c r="B59" s="65">
        <v>32</v>
      </c>
      <c r="C59" s="62" t="s">
        <v>106</v>
      </c>
      <c r="D59" s="63">
        <v>80500</v>
      </c>
      <c r="E59" s="64">
        <v>150</v>
      </c>
      <c r="F59" s="64">
        <v>12</v>
      </c>
      <c r="G59" s="84">
        <v>5.7000000000000002E-2</v>
      </c>
      <c r="H59" s="67">
        <v>1.1100000000000001</v>
      </c>
      <c r="I59" s="67">
        <v>1.96</v>
      </c>
      <c r="J59" s="67">
        <v>1.67</v>
      </c>
      <c r="K59" s="67">
        <v>0.55000000000000004</v>
      </c>
      <c r="L59" s="67">
        <v>5.31</v>
      </c>
      <c r="M59" s="67">
        <v>3.74</v>
      </c>
      <c r="N59" s="67">
        <v>4.28</v>
      </c>
      <c r="O59" s="67">
        <v>13.34</v>
      </c>
      <c r="P59" s="65">
        <f t="shared" si="0"/>
        <v>17.543859649122805</v>
      </c>
    </row>
    <row r="60" spans="1:16" x14ac:dyDescent="0.25">
      <c r="A60" s="62" t="s">
        <v>160</v>
      </c>
      <c r="B60" s="65">
        <v>42</v>
      </c>
      <c r="C60" s="62" t="s">
        <v>106</v>
      </c>
      <c r="D60" s="63">
        <v>93000</v>
      </c>
      <c r="E60" s="64">
        <v>150</v>
      </c>
      <c r="F60" s="64">
        <v>12</v>
      </c>
      <c r="G60" s="84">
        <v>4.3999999999999997E-2</v>
      </c>
      <c r="H60" s="67">
        <v>0.84</v>
      </c>
      <c r="I60" s="67">
        <v>1.49</v>
      </c>
      <c r="J60" s="67">
        <v>1.47</v>
      </c>
      <c r="K60" s="67">
        <v>0.42</v>
      </c>
      <c r="L60" s="67">
        <v>4.24</v>
      </c>
      <c r="M60" s="67">
        <v>3.29</v>
      </c>
      <c r="N60" s="67">
        <v>3.26</v>
      </c>
      <c r="O60" s="67">
        <v>10.81</v>
      </c>
      <c r="P60" s="65">
        <f t="shared" si="0"/>
        <v>22.72727272727273</v>
      </c>
    </row>
    <row r="61" spans="1:16" x14ac:dyDescent="0.25">
      <c r="A61" s="62" t="s">
        <v>161</v>
      </c>
      <c r="B61" s="65">
        <v>50</v>
      </c>
      <c r="C61" s="62" t="s">
        <v>106</v>
      </c>
      <c r="D61" s="63">
        <v>117000</v>
      </c>
      <c r="E61" s="64">
        <v>150</v>
      </c>
      <c r="F61" s="64">
        <v>12</v>
      </c>
      <c r="G61" s="84">
        <v>3.5999999999999997E-2</v>
      </c>
      <c r="H61" s="67">
        <v>0.71</v>
      </c>
      <c r="I61" s="67">
        <v>1.25</v>
      </c>
      <c r="J61" s="67">
        <v>1.56</v>
      </c>
      <c r="K61" s="67">
        <v>0.35</v>
      </c>
      <c r="L61" s="67">
        <v>3.88</v>
      </c>
      <c r="M61" s="67">
        <v>3.48</v>
      </c>
      <c r="N61" s="67">
        <v>2.74</v>
      </c>
      <c r="O61" s="67">
        <v>10.11</v>
      </c>
      <c r="P61" s="65">
        <f t="shared" si="0"/>
        <v>27.777777777777779</v>
      </c>
    </row>
    <row r="62" spans="1:16" x14ac:dyDescent="0.25">
      <c r="A62" s="62" t="s">
        <v>162</v>
      </c>
      <c r="B62" s="65">
        <v>61</v>
      </c>
      <c r="C62" s="62" t="s">
        <v>106</v>
      </c>
      <c r="D62" s="63">
        <v>150000</v>
      </c>
      <c r="E62" s="64">
        <v>150</v>
      </c>
      <c r="F62" s="64">
        <v>12</v>
      </c>
      <c r="G62" s="84">
        <v>0.03</v>
      </c>
      <c r="H62" s="67">
        <v>0.57999999999999996</v>
      </c>
      <c r="I62" s="67">
        <v>1.03</v>
      </c>
      <c r="J62" s="67">
        <v>1.64</v>
      </c>
      <c r="K62" s="67">
        <v>0.28999999999999998</v>
      </c>
      <c r="L62" s="67">
        <v>3.54</v>
      </c>
      <c r="M62" s="67">
        <v>3.66</v>
      </c>
      <c r="N62" s="67">
        <v>2.2400000000000002</v>
      </c>
      <c r="O62" s="67">
        <v>9.4499999999999993</v>
      </c>
      <c r="P62" s="65">
        <f t="shared" si="0"/>
        <v>33.333333333333336</v>
      </c>
    </row>
    <row r="63" spans="1:16" x14ac:dyDescent="0.25">
      <c r="A63" s="62" t="s">
        <v>163</v>
      </c>
      <c r="B63" s="65">
        <v>10</v>
      </c>
      <c r="C63" s="62" t="s">
        <v>101</v>
      </c>
      <c r="D63" s="63">
        <v>13400</v>
      </c>
      <c r="E63" s="64">
        <v>150</v>
      </c>
      <c r="F63" s="64">
        <v>12</v>
      </c>
      <c r="G63" s="84">
        <v>0.184</v>
      </c>
      <c r="H63" s="67">
        <v>3.56</v>
      </c>
      <c r="I63" s="67">
        <v>4.75</v>
      </c>
      <c r="J63" s="67">
        <v>0.89</v>
      </c>
      <c r="K63" s="67">
        <v>1.26</v>
      </c>
      <c r="L63" s="67">
        <v>10.47</v>
      </c>
      <c r="M63" s="67">
        <v>1.99</v>
      </c>
      <c r="N63" s="67">
        <v>9.76</v>
      </c>
      <c r="O63" s="67">
        <v>22.23</v>
      </c>
      <c r="P63" s="65">
        <f t="shared" si="0"/>
        <v>5.4347826086956523</v>
      </c>
    </row>
    <row r="64" spans="1:16" x14ac:dyDescent="0.25">
      <c r="A64" s="62" t="s">
        <v>164</v>
      </c>
      <c r="B64" s="65">
        <v>15</v>
      </c>
      <c r="C64" s="62" t="s">
        <v>165</v>
      </c>
      <c r="D64" s="63">
        <v>20100</v>
      </c>
      <c r="E64" s="64">
        <v>150</v>
      </c>
      <c r="F64" s="64">
        <v>12</v>
      </c>
      <c r="G64" s="84">
        <v>0.123</v>
      </c>
      <c r="H64" s="67">
        <v>2.37</v>
      </c>
      <c r="I64" s="67">
        <v>2.42</v>
      </c>
      <c r="J64" s="67">
        <v>0.89</v>
      </c>
      <c r="K64" s="67">
        <v>0.55000000000000004</v>
      </c>
      <c r="L64" s="67">
        <v>6.25</v>
      </c>
      <c r="M64" s="67">
        <v>1.99</v>
      </c>
      <c r="N64" s="67">
        <v>4.16</v>
      </c>
      <c r="O64" s="67">
        <v>12.4</v>
      </c>
      <c r="P64" s="65">
        <f t="shared" si="0"/>
        <v>8.1300813008130088</v>
      </c>
    </row>
    <row r="65" spans="1:16" x14ac:dyDescent="0.25">
      <c r="A65" s="62" t="s">
        <v>166</v>
      </c>
      <c r="B65" s="65">
        <v>20</v>
      </c>
      <c r="C65" s="62" t="s">
        <v>106</v>
      </c>
      <c r="D65" s="63">
        <v>19800</v>
      </c>
      <c r="E65" s="64">
        <v>150</v>
      </c>
      <c r="F65" s="64">
        <v>12</v>
      </c>
      <c r="G65" s="84">
        <v>0.10199999999999999</v>
      </c>
      <c r="H65" s="67">
        <v>1.98</v>
      </c>
      <c r="I65" s="67">
        <v>3.49</v>
      </c>
      <c r="J65" s="67">
        <v>0.73</v>
      </c>
      <c r="K65" s="67">
        <v>0.98</v>
      </c>
      <c r="L65" s="67">
        <v>7.19</v>
      </c>
      <c r="M65" s="67">
        <v>1.63</v>
      </c>
      <c r="N65" s="67">
        <v>7.62</v>
      </c>
      <c r="O65" s="67">
        <v>16.45</v>
      </c>
      <c r="P65" s="65">
        <f t="shared" si="0"/>
        <v>9.8039215686274517</v>
      </c>
    </row>
    <row r="66" spans="1:16" x14ac:dyDescent="0.25">
      <c r="A66" s="69" t="s">
        <v>167</v>
      </c>
      <c r="B66" s="72">
        <f>(4*30)/12</f>
        <v>10</v>
      </c>
      <c r="C66" s="69" t="s">
        <v>168</v>
      </c>
      <c r="D66" s="70">
        <v>27700</v>
      </c>
      <c r="E66" s="71">
        <v>150</v>
      </c>
      <c r="F66" s="71">
        <v>10</v>
      </c>
      <c r="G66" s="85">
        <v>0.22</v>
      </c>
      <c r="H66" s="74">
        <v>5.23</v>
      </c>
      <c r="I66" s="74">
        <v>3.49</v>
      </c>
      <c r="J66" s="74">
        <v>1.62</v>
      </c>
      <c r="K66" s="74">
        <v>0.78</v>
      </c>
      <c r="L66" s="74">
        <v>11.14</v>
      </c>
      <c r="M66" s="74">
        <v>5.37</v>
      </c>
      <c r="N66" s="74">
        <v>5.85</v>
      </c>
      <c r="O66" s="74">
        <v>22.36</v>
      </c>
      <c r="P66" s="72">
        <f t="shared" si="0"/>
        <v>4.5454545454545459</v>
      </c>
    </row>
    <row r="67" spans="1:16" x14ac:dyDescent="0.25">
      <c r="A67" s="69" t="s">
        <v>169</v>
      </c>
      <c r="B67" s="72">
        <f>(4*38)/12</f>
        <v>12.666666666666666</v>
      </c>
      <c r="C67" s="69" t="s">
        <v>168</v>
      </c>
      <c r="D67" s="70">
        <v>27700</v>
      </c>
      <c r="E67" s="71">
        <v>150</v>
      </c>
      <c r="F67" s="71">
        <v>10</v>
      </c>
      <c r="G67" s="85">
        <v>0.17299999999999999</v>
      </c>
      <c r="H67" s="74">
        <v>4.12</v>
      </c>
      <c r="I67" s="74">
        <v>2.75</v>
      </c>
      <c r="J67" s="74">
        <v>1.27</v>
      </c>
      <c r="K67" s="74">
        <v>0.61</v>
      </c>
      <c r="L67" s="74">
        <v>8.77</v>
      </c>
      <c r="M67" s="74">
        <v>4.22</v>
      </c>
      <c r="N67" s="74">
        <v>4.5999999999999996</v>
      </c>
      <c r="O67" s="74">
        <v>17.600000000000001</v>
      </c>
      <c r="P67" s="72">
        <f t="shared" si="0"/>
        <v>5.7803468208092488</v>
      </c>
    </row>
    <row r="68" spans="1:16" x14ac:dyDescent="0.25">
      <c r="A68" s="69" t="s">
        <v>170</v>
      </c>
      <c r="B68" s="72">
        <f>(6*30)/12</f>
        <v>15</v>
      </c>
      <c r="C68" s="69" t="s">
        <v>99</v>
      </c>
      <c r="D68" s="70">
        <v>34300</v>
      </c>
      <c r="E68" s="71">
        <v>150</v>
      </c>
      <c r="F68" s="71">
        <v>10</v>
      </c>
      <c r="G68" s="85">
        <v>0.14599999999999999</v>
      </c>
      <c r="H68" s="74">
        <v>3.49</v>
      </c>
      <c r="I68" s="74">
        <v>3.32</v>
      </c>
      <c r="J68" s="74">
        <v>1.34</v>
      </c>
      <c r="K68" s="74">
        <v>0.88</v>
      </c>
      <c r="L68" s="74">
        <v>9.0500000000000007</v>
      </c>
      <c r="M68" s="74">
        <v>4.43</v>
      </c>
      <c r="N68" s="74">
        <v>6.65</v>
      </c>
      <c r="O68" s="74">
        <v>20.13</v>
      </c>
      <c r="P68" s="72">
        <f t="shared" si="0"/>
        <v>6.8493150684931514</v>
      </c>
    </row>
    <row r="69" spans="1:16" x14ac:dyDescent="0.25">
      <c r="A69" s="69" t="s">
        <v>171</v>
      </c>
      <c r="B69" s="72">
        <f>(6*38)/12</f>
        <v>19</v>
      </c>
      <c r="C69" s="69" t="s">
        <v>99</v>
      </c>
      <c r="D69" s="70">
        <v>34200</v>
      </c>
      <c r="E69" s="71">
        <v>150</v>
      </c>
      <c r="F69" s="71">
        <v>10</v>
      </c>
      <c r="G69" s="85">
        <v>0.115</v>
      </c>
      <c r="H69" s="74">
        <v>2.75</v>
      </c>
      <c r="I69" s="74">
        <v>2.62</v>
      </c>
      <c r="J69" s="74">
        <v>1.05</v>
      </c>
      <c r="K69" s="74">
        <v>0.7</v>
      </c>
      <c r="L69" s="74">
        <v>7.14</v>
      </c>
      <c r="M69" s="74">
        <v>3.48</v>
      </c>
      <c r="N69" s="74">
        <v>5.25</v>
      </c>
      <c r="O69" s="74">
        <v>15.88</v>
      </c>
      <c r="P69" s="72">
        <f t="shared" ref="P69:P132" si="1">1/G69</f>
        <v>8.695652173913043</v>
      </c>
    </row>
    <row r="70" spans="1:16" x14ac:dyDescent="0.25">
      <c r="A70" s="69" t="s">
        <v>172</v>
      </c>
      <c r="B70" s="72">
        <f>(8*30)/12</f>
        <v>20</v>
      </c>
      <c r="C70" s="69" t="s">
        <v>103</v>
      </c>
      <c r="D70" s="70">
        <v>42100</v>
      </c>
      <c r="E70" s="71">
        <v>150</v>
      </c>
      <c r="F70" s="71">
        <v>10</v>
      </c>
      <c r="G70" s="85">
        <v>0.11</v>
      </c>
      <c r="H70" s="74">
        <v>2.61</v>
      </c>
      <c r="I70" s="74">
        <v>3.16</v>
      </c>
      <c r="J70" s="74">
        <v>1.23</v>
      </c>
      <c r="K70" s="74">
        <v>0.96</v>
      </c>
      <c r="L70" s="74">
        <v>7.98</v>
      </c>
      <c r="M70" s="74">
        <v>4.08</v>
      </c>
      <c r="N70" s="74">
        <v>7.47</v>
      </c>
      <c r="O70" s="74">
        <v>19.53</v>
      </c>
      <c r="P70" s="72">
        <f t="shared" si="1"/>
        <v>9.0909090909090917</v>
      </c>
    </row>
    <row r="71" spans="1:16" x14ac:dyDescent="0.25">
      <c r="A71" s="69" t="s">
        <v>173</v>
      </c>
      <c r="B71" s="72">
        <f>(8*38)/12</f>
        <v>25.333333333333332</v>
      </c>
      <c r="C71" s="69" t="s">
        <v>103</v>
      </c>
      <c r="D71" s="70">
        <v>47000</v>
      </c>
      <c r="E71" s="71">
        <v>150</v>
      </c>
      <c r="F71" s="71">
        <v>10</v>
      </c>
      <c r="G71" s="85">
        <v>8.5999999999999993E-2</v>
      </c>
      <c r="H71" s="74">
        <v>2.0699999999999998</v>
      </c>
      <c r="I71" s="74">
        <v>2.5</v>
      </c>
      <c r="J71" s="74">
        <v>1.08</v>
      </c>
      <c r="K71" s="74">
        <v>0.76</v>
      </c>
      <c r="L71" s="74">
        <v>6.42</v>
      </c>
      <c r="M71" s="74">
        <v>3.6</v>
      </c>
      <c r="N71" s="74">
        <v>5.9</v>
      </c>
      <c r="O71" s="74">
        <v>15.93</v>
      </c>
      <c r="P71" s="72">
        <f t="shared" si="1"/>
        <v>11.627906976744187</v>
      </c>
    </row>
    <row r="72" spans="1:16" x14ac:dyDescent="0.25">
      <c r="A72" s="69" t="s">
        <v>174</v>
      </c>
      <c r="B72" s="72">
        <f>(8*38)/12</f>
        <v>25.333333333333332</v>
      </c>
      <c r="C72" s="69" t="s">
        <v>103</v>
      </c>
      <c r="D72" s="70">
        <v>66600</v>
      </c>
      <c r="E72" s="71">
        <v>150</v>
      </c>
      <c r="F72" s="71">
        <v>10</v>
      </c>
      <c r="G72" s="85">
        <v>5.7000000000000002E-2</v>
      </c>
      <c r="H72" s="74">
        <v>1.37</v>
      </c>
      <c r="I72" s="74">
        <v>1.66</v>
      </c>
      <c r="J72" s="74">
        <v>1.02</v>
      </c>
      <c r="K72" s="74">
        <v>0.5</v>
      </c>
      <c r="L72" s="74">
        <v>4.57</v>
      </c>
      <c r="M72" s="74">
        <v>3.39</v>
      </c>
      <c r="N72" s="74">
        <v>3.93</v>
      </c>
      <c r="O72" s="74">
        <v>11.9</v>
      </c>
      <c r="P72" s="72">
        <f t="shared" si="1"/>
        <v>17.543859649122805</v>
      </c>
    </row>
    <row r="73" spans="1:16" x14ac:dyDescent="0.25">
      <c r="A73" s="69" t="s">
        <v>175</v>
      </c>
      <c r="B73" s="72">
        <f>(12*30)/12</f>
        <v>30</v>
      </c>
      <c r="C73" s="69" t="s">
        <v>106</v>
      </c>
      <c r="D73" s="70">
        <v>68100</v>
      </c>
      <c r="E73" s="71">
        <v>150</v>
      </c>
      <c r="F73" s="71">
        <v>10</v>
      </c>
      <c r="G73" s="85">
        <v>7.2999999999999995E-2</v>
      </c>
      <c r="H73" s="74">
        <v>1.74</v>
      </c>
      <c r="I73" s="74">
        <v>2.4900000000000002</v>
      </c>
      <c r="J73" s="74">
        <v>1.33</v>
      </c>
      <c r="K73" s="74">
        <v>0.7</v>
      </c>
      <c r="L73" s="74">
        <v>6.27</v>
      </c>
      <c r="M73" s="74">
        <v>4.4000000000000004</v>
      </c>
      <c r="N73" s="74">
        <v>5.44</v>
      </c>
      <c r="O73" s="74">
        <v>16.11</v>
      </c>
      <c r="P73" s="72">
        <f t="shared" si="1"/>
        <v>13.698630136986303</v>
      </c>
    </row>
    <row r="74" spans="1:16" x14ac:dyDescent="0.25">
      <c r="A74" s="69" t="s">
        <v>176</v>
      </c>
      <c r="B74" s="72">
        <f>(12*38)/12</f>
        <v>38</v>
      </c>
      <c r="C74" s="69" t="s">
        <v>106</v>
      </c>
      <c r="D74" s="70">
        <v>66600</v>
      </c>
      <c r="E74" s="71">
        <v>150</v>
      </c>
      <c r="F74" s="71">
        <v>10</v>
      </c>
      <c r="G74" s="85">
        <v>5.7000000000000002E-2</v>
      </c>
      <c r="H74" s="74">
        <v>1.37</v>
      </c>
      <c r="I74" s="74">
        <v>1.97</v>
      </c>
      <c r="J74" s="74">
        <v>1.02</v>
      </c>
      <c r="K74" s="74">
        <v>0.55000000000000004</v>
      </c>
      <c r="L74" s="74">
        <v>4.93</v>
      </c>
      <c r="M74" s="74">
        <v>3.39</v>
      </c>
      <c r="N74" s="74">
        <v>4.29</v>
      </c>
      <c r="O74" s="74">
        <v>12.62</v>
      </c>
      <c r="P74" s="72">
        <f t="shared" si="1"/>
        <v>17.543859649122805</v>
      </c>
    </row>
    <row r="75" spans="1:16" x14ac:dyDescent="0.25">
      <c r="A75" s="69" t="s">
        <v>177</v>
      </c>
      <c r="B75" s="72">
        <f>(16*30)/12</f>
        <v>40</v>
      </c>
      <c r="C75" s="69" t="s">
        <v>106</v>
      </c>
      <c r="D75" s="70">
        <v>89500</v>
      </c>
      <c r="E75" s="71">
        <v>150</v>
      </c>
      <c r="F75" s="71">
        <v>10</v>
      </c>
      <c r="G75" s="85">
        <v>5.5E-2</v>
      </c>
      <c r="H75" s="74">
        <v>1.3</v>
      </c>
      <c r="I75" s="74">
        <v>1.87</v>
      </c>
      <c r="J75" s="74">
        <v>1.31</v>
      </c>
      <c r="K75" s="74">
        <v>0.52</v>
      </c>
      <c r="L75" s="74">
        <v>5.0199999999999996</v>
      </c>
      <c r="M75" s="74">
        <v>4.33</v>
      </c>
      <c r="N75" s="74">
        <v>4.08</v>
      </c>
      <c r="O75" s="74">
        <v>13.44</v>
      </c>
      <c r="P75" s="72">
        <f t="shared" si="1"/>
        <v>18.181818181818183</v>
      </c>
    </row>
    <row r="76" spans="1:16" x14ac:dyDescent="0.25">
      <c r="A76" s="69" t="s">
        <v>178</v>
      </c>
      <c r="B76" s="72">
        <f>(4*30)/12</f>
        <v>10</v>
      </c>
      <c r="C76" s="69" t="s">
        <v>168</v>
      </c>
      <c r="D76" s="70">
        <v>21600</v>
      </c>
      <c r="E76" s="71">
        <v>150</v>
      </c>
      <c r="F76" s="71">
        <v>10</v>
      </c>
      <c r="G76" s="85">
        <v>0.20599999999999999</v>
      </c>
      <c r="H76" s="74">
        <v>3.97</v>
      </c>
      <c r="I76" s="74">
        <v>3.27</v>
      </c>
      <c r="J76" s="74">
        <v>1.18</v>
      </c>
      <c r="K76" s="74">
        <v>0.72</v>
      </c>
      <c r="L76" s="74">
        <v>9.17</v>
      </c>
      <c r="M76" s="74">
        <v>3.92</v>
      </c>
      <c r="N76" s="74">
        <v>5.45</v>
      </c>
      <c r="O76" s="74">
        <v>18.54</v>
      </c>
      <c r="P76" s="72">
        <f t="shared" si="1"/>
        <v>4.8543689320388355</v>
      </c>
    </row>
    <row r="77" spans="1:16" x14ac:dyDescent="0.25">
      <c r="A77" s="69" t="s">
        <v>179</v>
      </c>
      <c r="B77" s="72">
        <f>(4*38)/12</f>
        <v>12.666666666666666</v>
      </c>
      <c r="C77" s="69" t="s">
        <v>168</v>
      </c>
      <c r="D77" s="70">
        <v>21600</v>
      </c>
      <c r="E77" s="71">
        <v>150</v>
      </c>
      <c r="F77" s="71">
        <v>10</v>
      </c>
      <c r="G77" s="85">
        <v>0.16200000000000001</v>
      </c>
      <c r="H77" s="74">
        <v>3.13</v>
      </c>
      <c r="I77" s="74">
        <v>2.58</v>
      </c>
      <c r="J77" s="74">
        <v>0.93</v>
      </c>
      <c r="K77" s="74">
        <v>0.56999999999999995</v>
      </c>
      <c r="L77" s="74">
        <v>7.22</v>
      </c>
      <c r="M77" s="74">
        <v>3.09</v>
      </c>
      <c r="N77" s="74">
        <v>4.32</v>
      </c>
      <c r="O77" s="74">
        <v>14.63</v>
      </c>
      <c r="P77" s="72">
        <f t="shared" si="1"/>
        <v>6.1728395061728394</v>
      </c>
    </row>
    <row r="78" spans="1:16" x14ac:dyDescent="0.25">
      <c r="A78" s="69" t="s">
        <v>180</v>
      </c>
      <c r="B78" s="72">
        <f>(6*30)/12</f>
        <v>15</v>
      </c>
      <c r="C78" s="69" t="s">
        <v>99</v>
      </c>
      <c r="D78" s="70">
        <v>28200</v>
      </c>
      <c r="E78" s="71">
        <v>150</v>
      </c>
      <c r="F78" s="71">
        <v>10</v>
      </c>
      <c r="G78" s="85">
        <v>0.13700000000000001</v>
      </c>
      <c r="H78" s="74">
        <v>2.65</v>
      </c>
      <c r="I78" s="74">
        <v>3.12</v>
      </c>
      <c r="J78" s="74">
        <v>1.03</v>
      </c>
      <c r="K78" s="74">
        <v>0.83</v>
      </c>
      <c r="L78" s="74">
        <v>7.63</v>
      </c>
      <c r="M78" s="74">
        <v>3.41</v>
      </c>
      <c r="N78" s="74">
        <v>6.23</v>
      </c>
      <c r="O78" s="74">
        <v>17.29</v>
      </c>
      <c r="P78" s="72">
        <f t="shared" si="1"/>
        <v>7.2992700729926998</v>
      </c>
    </row>
    <row r="79" spans="1:16" x14ac:dyDescent="0.25">
      <c r="A79" s="69" t="s">
        <v>181</v>
      </c>
      <c r="B79" s="72">
        <f>(6*38)/12</f>
        <v>19</v>
      </c>
      <c r="C79" s="69" t="s">
        <v>99</v>
      </c>
      <c r="D79" s="70">
        <v>28100</v>
      </c>
      <c r="E79" s="71">
        <v>150</v>
      </c>
      <c r="F79" s="71">
        <v>10</v>
      </c>
      <c r="G79" s="85">
        <v>0.108</v>
      </c>
      <c r="H79" s="74">
        <v>2.09</v>
      </c>
      <c r="I79" s="74">
        <v>2.46</v>
      </c>
      <c r="J79" s="74">
        <v>0.81</v>
      </c>
      <c r="K79" s="74">
        <v>0.65</v>
      </c>
      <c r="L79" s="74">
        <v>6.02</v>
      </c>
      <c r="M79" s="74">
        <v>2.68</v>
      </c>
      <c r="N79" s="74">
        <v>4.92</v>
      </c>
      <c r="O79" s="74">
        <v>13.64</v>
      </c>
      <c r="P79" s="72">
        <f t="shared" si="1"/>
        <v>9.2592592592592595</v>
      </c>
    </row>
    <row r="80" spans="1:16" x14ac:dyDescent="0.25">
      <c r="A80" s="69" t="s">
        <v>182</v>
      </c>
      <c r="B80" s="72">
        <f>(8*30)/12</f>
        <v>20</v>
      </c>
      <c r="C80" s="69" t="s">
        <v>103</v>
      </c>
      <c r="D80" s="70">
        <v>36000</v>
      </c>
      <c r="E80" s="71">
        <v>150</v>
      </c>
      <c r="F80" s="71">
        <v>10</v>
      </c>
      <c r="G80" s="85">
        <v>0.10299999999999999</v>
      </c>
      <c r="H80" s="74">
        <v>1.98</v>
      </c>
      <c r="I80" s="74">
        <v>2.96</v>
      </c>
      <c r="J80" s="74">
        <v>0.99</v>
      </c>
      <c r="K80" s="74">
        <v>0.9</v>
      </c>
      <c r="L80" s="74">
        <v>6.84</v>
      </c>
      <c r="M80" s="74">
        <v>3.27</v>
      </c>
      <c r="N80" s="74">
        <v>7</v>
      </c>
      <c r="O80" s="74">
        <v>17.12</v>
      </c>
      <c r="P80" s="72">
        <f t="shared" si="1"/>
        <v>9.7087378640776709</v>
      </c>
    </row>
    <row r="81" spans="1:16" x14ac:dyDescent="0.25">
      <c r="A81" s="69" t="s">
        <v>183</v>
      </c>
      <c r="B81" s="72">
        <f>(8*38)/12</f>
        <v>25.333333333333332</v>
      </c>
      <c r="C81" s="69" t="s">
        <v>103</v>
      </c>
      <c r="D81" s="70">
        <v>40900</v>
      </c>
      <c r="E81" s="71">
        <v>150</v>
      </c>
      <c r="F81" s="71">
        <v>10</v>
      </c>
      <c r="G81" s="85">
        <v>7.2999999999999995E-2</v>
      </c>
      <c r="H81" s="74">
        <v>1.42</v>
      </c>
      <c r="I81" s="74">
        <v>2.11</v>
      </c>
      <c r="J81" s="74">
        <v>0.8</v>
      </c>
      <c r="K81" s="74">
        <v>0.64</v>
      </c>
      <c r="L81" s="74">
        <v>4.9800000000000004</v>
      </c>
      <c r="M81" s="74">
        <v>2.65</v>
      </c>
      <c r="N81" s="74">
        <v>5</v>
      </c>
      <c r="O81" s="74">
        <v>12.64</v>
      </c>
      <c r="P81" s="72">
        <f t="shared" si="1"/>
        <v>13.698630136986303</v>
      </c>
    </row>
    <row r="82" spans="1:16" x14ac:dyDescent="0.25">
      <c r="A82" s="69" t="s">
        <v>184</v>
      </c>
      <c r="B82" s="72">
        <f>(8*38)/12</f>
        <v>25.333333333333332</v>
      </c>
      <c r="C82" s="69" t="s">
        <v>103</v>
      </c>
      <c r="D82" s="70">
        <v>60500</v>
      </c>
      <c r="E82" s="71">
        <v>150</v>
      </c>
      <c r="F82" s="71">
        <v>10</v>
      </c>
      <c r="G82" s="85">
        <v>5.3999999999999999E-2</v>
      </c>
      <c r="H82" s="74">
        <v>1.04</v>
      </c>
      <c r="I82" s="74">
        <v>1.56</v>
      </c>
      <c r="J82" s="74">
        <v>0.87</v>
      </c>
      <c r="K82" s="74">
        <v>0.47</v>
      </c>
      <c r="L82" s="74">
        <v>3.95</v>
      </c>
      <c r="M82" s="74">
        <v>2.89</v>
      </c>
      <c r="N82" s="74">
        <v>3.68</v>
      </c>
      <c r="O82" s="74">
        <v>10.53</v>
      </c>
      <c r="P82" s="72">
        <f t="shared" si="1"/>
        <v>18.518518518518519</v>
      </c>
    </row>
    <row r="83" spans="1:16" x14ac:dyDescent="0.25">
      <c r="A83" s="69" t="s">
        <v>185</v>
      </c>
      <c r="B83" s="72">
        <f>(12*30)/12</f>
        <v>30</v>
      </c>
      <c r="C83" s="69" t="s">
        <v>106</v>
      </c>
      <c r="D83" s="70">
        <v>62000</v>
      </c>
      <c r="E83" s="71">
        <v>150</v>
      </c>
      <c r="F83" s="71">
        <v>10</v>
      </c>
      <c r="G83" s="85">
        <v>6.8000000000000005E-2</v>
      </c>
      <c r="H83" s="74">
        <v>1.32</v>
      </c>
      <c r="I83" s="74">
        <v>2.34</v>
      </c>
      <c r="J83" s="74">
        <v>1.1299999999999999</v>
      </c>
      <c r="K83" s="74">
        <v>0.65</v>
      </c>
      <c r="L83" s="74">
        <v>5.46</v>
      </c>
      <c r="M83" s="74">
        <v>3.75</v>
      </c>
      <c r="N83" s="74">
        <v>5.0999999999999996</v>
      </c>
      <c r="O83" s="74">
        <v>14.32</v>
      </c>
      <c r="P83" s="72">
        <f t="shared" si="1"/>
        <v>14.705882352941176</v>
      </c>
    </row>
    <row r="84" spans="1:16" x14ac:dyDescent="0.25">
      <c r="A84" s="69" t="s">
        <v>186</v>
      </c>
      <c r="B84" s="72">
        <f>(12*38)/12</f>
        <v>38</v>
      </c>
      <c r="C84" s="69" t="s">
        <v>106</v>
      </c>
      <c r="D84" s="70">
        <v>60500</v>
      </c>
      <c r="E84" s="71">
        <v>150</v>
      </c>
      <c r="F84" s="71">
        <v>10</v>
      </c>
      <c r="G84" s="85">
        <v>5.3999999999999999E-2</v>
      </c>
      <c r="H84" s="74">
        <v>1.04</v>
      </c>
      <c r="I84" s="74">
        <v>1.84</v>
      </c>
      <c r="J84" s="74">
        <v>0.87</v>
      </c>
      <c r="K84" s="74">
        <v>0.52</v>
      </c>
      <c r="L84" s="74">
        <v>4.29</v>
      </c>
      <c r="M84" s="74">
        <v>2.89</v>
      </c>
      <c r="N84" s="74">
        <v>4.0199999999999996</v>
      </c>
      <c r="O84" s="74">
        <v>11.21</v>
      </c>
      <c r="P84" s="72">
        <f t="shared" si="1"/>
        <v>18.518518518518519</v>
      </c>
    </row>
    <row r="85" spans="1:16" x14ac:dyDescent="0.25">
      <c r="A85" s="69" t="s">
        <v>187</v>
      </c>
      <c r="B85" s="72">
        <f>(16*30)/12</f>
        <v>40</v>
      </c>
      <c r="C85" s="69" t="s">
        <v>106</v>
      </c>
      <c r="D85" s="70">
        <v>83400</v>
      </c>
      <c r="E85" s="71">
        <v>150</v>
      </c>
      <c r="F85" s="71">
        <v>10</v>
      </c>
      <c r="G85" s="85">
        <v>5.0999999999999997E-2</v>
      </c>
      <c r="H85" s="74">
        <v>0.99</v>
      </c>
      <c r="I85" s="74">
        <v>1.75</v>
      </c>
      <c r="J85" s="74">
        <v>1.1399999999999999</v>
      </c>
      <c r="K85" s="74">
        <v>0.49</v>
      </c>
      <c r="L85" s="74">
        <v>4.3899999999999997</v>
      </c>
      <c r="M85" s="74">
        <v>3.78</v>
      </c>
      <c r="N85" s="74">
        <v>3.82</v>
      </c>
      <c r="O85" s="74">
        <v>12</v>
      </c>
      <c r="P85" s="72">
        <f t="shared" si="1"/>
        <v>19.607843137254903</v>
      </c>
    </row>
    <row r="86" spans="1:16" x14ac:dyDescent="0.25">
      <c r="A86" s="62" t="s">
        <v>188</v>
      </c>
      <c r="B86" s="65">
        <v>14</v>
      </c>
      <c r="C86" s="62" t="s">
        <v>165</v>
      </c>
      <c r="D86" s="63">
        <v>42700</v>
      </c>
      <c r="E86" s="64">
        <v>200</v>
      </c>
      <c r="F86" s="64">
        <v>10</v>
      </c>
      <c r="G86" s="84">
        <v>0.14899999999999999</v>
      </c>
      <c r="H86" s="67">
        <v>3.56</v>
      </c>
      <c r="I86" s="67">
        <v>2.94</v>
      </c>
      <c r="J86" s="67">
        <v>1.91</v>
      </c>
      <c r="K86" s="67">
        <v>0.67</v>
      </c>
      <c r="L86" s="67">
        <v>9.09</v>
      </c>
      <c r="M86" s="67">
        <v>4.22</v>
      </c>
      <c r="N86" s="67">
        <v>5.05</v>
      </c>
      <c r="O86" s="67">
        <v>18.37</v>
      </c>
      <c r="P86" s="65">
        <f t="shared" si="1"/>
        <v>6.7114093959731544</v>
      </c>
    </row>
    <row r="87" spans="1:16" x14ac:dyDescent="0.25">
      <c r="A87" s="62" t="s">
        <v>189</v>
      </c>
      <c r="B87" s="65">
        <v>20</v>
      </c>
      <c r="C87" s="62" t="s">
        <v>103</v>
      </c>
      <c r="D87" s="63">
        <v>89600</v>
      </c>
      <c r="E87" s="64">
        <v>200</v>
      </c>
      <c r="F87" s="64">
        <v>10</v>
      </c>
      <c r="G87" s="84">
        <v>9.1999999999999998E-2</v>
      </c>
      <c r="H87" s="67">
        <v>2.2000000000000002</v>
      </c>
      <c r="I87" s="67">
        <v>2.65</v>
      </c>
      <c r="J87" s="67">
        <v>2.48</v>
      </c>
      <c r="K87" s="67">
        <v>0.81</v>
      </c>
      <c r="L87" s="67">
        <v>8.15</v>
      </c>
      <c r="M87" s="67">
        <v>5.47</v>
      </c>
      <c r="N87" s="67">
        <v>6.27</v>
      </c>
      <c r="O87" s="67">
        <v>19.899999999999999</v>
      </c>
      <c r="P87" s="65">
        <f t="shared" si="1"/>
        <v>10.869565217391305</v>
      </c>
    </row>
    <row r="88" spans="1:16" x14ac:dyDescent="0.25">
      <c r="A88" s="62" t="s">
        <v>190</v>
      </c>
      <c r="B88" s="65">
        <v>24</v>
      </c>
      <c r="C88" s="62" t="s">
        <v>103</v>
      </c>
      <c r="D88" s="63">
        <v>72800</v>
      </c>
      <c r="E88" s="64">
        <v>200</v>
      </c>
      <c r="F88" s="64">
        <v>10</v>
      </c>
      <c r="G88" s="84">
        <v>8.6999999999999994E-2</v>
      </c>
      <c r="H88" s="67">
        <v>2.0699999999999998</v>
      </c>
      <c r="I88" s="67">
        <v>2.5099999999999998</v>
      </c>
      <c r="J88" s="67">
        <v>1.9</v>
      </c>
      <c r="K88" s="67">
        <v>0.76</v>
      </c>
      <c r="L88" s="67">
        <v>7.26</v>
      </c>
      <c r="M88" s="67">
        <v>4.2</v>
      </c>
      <c r="N88" s="67">
        <v>5.92</v>
      </c>
      <c r="O88" s="67">
        <v>17.39</v>
      </c>
      <c r="P88" s="65">
        <f t="shared" si="1"/>
        <v>11.494252873563219</v>
      </c>
    </row>
    <row r="89" spans="1:16" x14ac:dyDescent="0.25">
      <c r="A89" s="62" t="s">
        <v>191</v>
      </c>
      <c r="B89" s="65">
        <v>28</v>
      </c>
      <c r="C89" s="62" t="s">
        <v>106</v>
      </c>
      <c r="D89" s="63">
        <v>86400</v>
      </c>
      <c r="E89" s="64">
        <v>200</v>
      </c>
      <c r="F89" s="64">
        <v>10</v>
      </c>
      <c r="G89" s="84">
        <v>7.3999999999999996E-2</v>
      </c>
      <c r="H89" s="67">
        <v>1.78</v>
      </c>
      <c r="I89" s="67">
        <v>2.54</v>
      </c>
      <c r="J89" s="67">
        <v>1.93</v>
      </c>
      <c r="K89" s="67">
        <v>0.71</v>
      </c>
      <c r="L89" s="67">
        <v>6.98</v>
      </c>
      <c r="M89" s="67">
        <v>4.2699999999999996</v>
      </c>
      <c r="N89" s="67">
        <v>5.55</v>
      </c>
      <c r="O89" s="67">
        <v>16.809999999999999</v>
      </c>
      <c r="P89" s="65">
        <f t="shared" si="1"/>
        <v>13.513513513513514</v>
      </c>
    </row>
    <row r="90" spans="1:16" x14ac:dyDescent="0.25">
      <c r="A90" s="62" t="s">
        <v>192</v>
      </c>
      <c r="B90" s="65">
        <v>32</v>
      </c>
      <c r="C90" s="62" t="s">
        <v>106</v>
      </c>
      <c r="D90" s="63">
        <v>94600</v>
      </c>
      <c r="E90" s="64">
        <v>200</v>
      </c>
      <c r="F90" s="64">
        <v>10</v>
      </c>
      <c r="G90" s="84">
        <v>6.5000000000000002E-2</v>
      </c>
      <c r="H90" s="67">
        <v>1.55</v>
      </c>
      <c r="I90" s="67">
        <v>2.2200000000000002</v>
      </c>
      <c r="J90" s="67">
        <v>1.85</v>
      </c>
      <c r="K90" s="67">
        <v>0.62</v>
      </c>
      <c r="L90" s="67">
        <v>6.27</v>
      </c>
      <c r="M90" s="67">
        <v>4.09</v>
      </c>
      <c r="N90" s="67">
        <v>4.8499999999999996</v>
      </c>
      <c r="O90" s="67">
        <v>15.22</v>
      </c>
      <c r="P90" s="65">
        <f t="shared" si="1"/>
        <v>15.384615384615383</v>
      </c>
    </row>
    <row r="91" spans="1:16" x14ac:dyDescent="0.25">
      <c r="A91" s="69" t="s">
        <v>193</v>
      </c>
      <c r="B91" s="72">
        <v>14</v>
      </c>
      <c r="C91" s="69" t="s">
        <v>165</v>
      </c>
      <c r="D91" s="70">
        <v>36600</v>
      </c>
      <c r="E91" s="71">
        <v>180</v>
      </c>
      <c r="F91" s="71">
        <v>10</v>
      </c>
      <c r="G91" s="85">
        <v>0.14000000000000001</v>
      </c>
      <c r="H91" s="74">
        <v>2.7</v>
      </c>
      <c r="I91" s="74">
        <v>2.76</v>
      </c>
      <c r="J91" s="74">
        <v>1.42</v>
      </c>
      <c r="K91" s="74">
        <v>0.63</v>
      </c>
      <c r="L91" s="74">
        <v>7.52</v>
      </c>
      <c r="M91" s="74">
        <v>3.77</v>
      </c>
      <c r="N91" s="74">
        <v>4.7300000000000004</v>
      </c>
      <c r="O91" s="74">
        <v>16.03</v>
      </c>
      <c r="P91" s="72">
        <f t="shared" si="1"/>
        <v>7.1428571428571423</v>
      </c>
    </row>
    <row r="92" spans="1:16" x14ac:dyDescent="0.25">
      <c r="A92" s="69" t="s">
        <v>194</v>
      </c>
      <c r="B92" s="72">
        <v>20</v>
      </c>
      <c r="C92" s="69" t="s">
        <v>103</v>
      </c>
      <c r="D92" s="70">
        <v>83500</v>
      </c>
      <c r="E92" s="71">
        <v>180</v>
      </c>
      <c r="F92" s="71">
        <v>10</v>
      </c>
      <c r="G92" s="85">
        <v>9.8000000000000004E-2</v>
      </c>
      <c r="H92" s="74">
        <v>1.89</v>
      </c>
      <c r="I92" s="74">
        <v>2.82</v>
      </c>
      <c r="J92" s="74">
        <v>2.27</v>
      </c>
      <c r="K92" s="74">
        <v>0.76</v>
      </c>
      <c r="L92" s="74">
        <v>7.85</v>
      </c>
      <c r="M92" s="74">
        <v>6.02</v>
      </c>
      <c r="N92" s="74">
        <v>6.66</v>
      </c>
      <c r="O92" s="74">
        <v>20.54</v>
      </c>
      <c r="P92" s="72">
        <f t="shared" si="1"/>
        <v>10.204081632653061</v>
      </c>
    </row>
    <row r="93" spans="1:16" x14ac:dyDescent="0.25">
      <c r="A93" s="69" t="s">
        <v>195</v>
      </c>
      <c r="B93" s="72">
        <v>24</v>
      </c>
      <c r="C93" s="69" t="s">
        <v>103</v>
      </c>
      <c r="D93" s="70">
        <v>66700</v>
      </c>
      <c r="E93" s="71">
        <v>180</v>
      </c>
      <c r="F93" s="71">
        <v>10</v>
      </c>
      <c r="G93" s="85">
        <v>8.1000000000000003E-2</v>
      </c>
      <c r="H93" s="74">
        <v>1.57</v>
      </c>
      <c r="I93" s="74">
        <v>2.35</v>
      </c>
      <c r="J93" s="74">
        <v>1.51</v>
      </c>
      <c r="K93" s="74">
        <v>0.71</v>
      </c>
      <c r="L93" s="74">
        <v>6.16</v>
      </c>
      <c r="M93" s="74">
        <v>4</v>
      </c>
      <c r="N93" s="74">
        <v>5.55</v>
      </c>
      <c r="O93" s="74">
        <v>15.73</v>
      </c>
      <c r="P93" s="72">
        <f t="shared" si="1"/>
        <v>12.345679012345679</v>
      </c>
    </row>
    <row r="94" spans="1:16" x14ac:dyDescent="0.25">
      <c r="A94" s="69" t="s">
        <v>196</v>
      </c>
      <c r="B94" s="72">
        <v>28</v>
      </c>
      <c r="C94" s="69" t="s">
        <v>106</v>
      </c>
      <c r="D94" s="70">
        <v>80300</v>
      </c>
      <c r="E94" s="71">
        <v>180</v>
      </c>
      <c r="F94" s="71">
        <v>10</v>
      </c>
      <c r="G94" s="85">
        <v>7.0000000000000007E-2</v>
      </c>
      <c r="H94" s="74">
        <v>1.35</v>
      </c>
      <c r="I94" s="74">
        <v>2.38</v>
      </c>
      <c r="J94" s="74">
        <v>1.56</v>
      </c>
      <c r="K94" s="74">
        <v>0.67</v>
      </c>
      <c r="L94" s="74">
        <v>5.97</v>
      </c>
      <c r="M94" s="74">
        <v>4.13</v>
      </c>
      <c r="N94" s="74">
        <v>5.2</v>
      </c>
      <c r="O94" s="74">
        <v>15.32</v>
      </c>
      <c r="P94" s="72">
        <f t="shared" si="1"/>
        <v>14.285714285714285</v>
      </c>
    </row>
    <row r="95" spans="1:16" x14ac:dyDescent="0.25">
      <c r="A95" s="69" t="s">
        <v>197</v>
      </c>
      <c r="B95" s="72">
        <v>32</v>
      </c>
      <c r="C95" s="69" t="s">
        <v>106</v>
      </c>
      <c r="D95" s="70">
        <v>88500</v>
      </c>
      <c r="E95" s="71">
        <v>180</v>
      </c>
      <c r="F95" s="71">
        <v>10</v>
      </c>
      <c r="G95" s="85">
        <v>6.0999999999999999E-2</v>
      </c>
      <c r="H95" s="74">
        <v>1.18</v>
      </c>
      <c r="I95" s="74">
        <v>2.08</v>
      </c>
      <c r="J95" s="74">
        <v>1.5</v>
      </c>
      <c r="K95" s="74">
        <v>0.57999999999999996</v>
      </c>
      <c r="L95" s="74">
        <v>5.37</v>
      </c>
      <c r="M95" s="74">
        <v>3.98</v>
      </c>
      <c r="N95" s="74">
        <v>4.55</v>
      </c>
      <c r="O95" s="74">
        <v>13.91</v>
      </c>
      <c r="P95" s="72">
        <f t="shared" si="1"/>
        <v>16.393442622950818</v>
      </c>
    </row>
    <row r="96" spans="1:16" x14ac:dyDescent="0.25">
      <c r="A96" s="69" t="s">
        <v>198</v>
      </c>
      <c r="B96" s="72">
        <v>42</v>
      </c>
      <c r="C96" s="69" t="s">
        <v>106</v>
      </c>
      <c r="D96" s="70">
        <v>144000</v>
      </c>
      <c r="E96" s="71">
        <v>180</v>
      </c>
      <c r="F96" s="71">
        <v>10</v>
      </c>
      <c r="G96" s="85">
        <v>4.5999999999999999E-2</v>
      </c>
      <c r="H96" s="74">
        <v>0.9</v>
      </c>
      <c r="I96" s="74">
        <v>1.59</v>
      </c>
      <c r="J96" s="74">
        <v>1.87</v>
      </c>
      <c r="K96" s="74">
        <v>0.44</v>
      </c>
      <c r="L96" s="74">
        <v>4.8099999999999996</v>
      </c>
      <c r="M96" s="74">
        <v>4.9400000000000004</v>
      </c>
      <c r="N96" s="74">
        <v>3.47</v>
      </c>
      <c r="O96" s="74">
        <v>13.22</v>
      </c>
      <c r="P96" s="72">
        <f t="shared" si="1"/>
        <v>21.739130434782609</v>
      </c>
    </row>
    <row r="97" spans="1:16" x14ac:dyDescent="0.25">
      <c r="A97" s="62" t="s">
        <v>199</v>
      </c>
      <c r="B97" s="65">
        <v>14</v>
      </c>
      <c r="C97" s="62" t="s">
        <v>99</v>
      </c>
      <c r="D97" s="63">
        <v>36300</v>
      </c>
      <c r="E97" s="64">
        <v>180</v>
      </c>
      <c r="F97" s="64">
        <v>10</v>
      </c>
      <c r="G97" s="84">
        <v>0.14499999999999999</v>
      </c>
      <c r="H97" s="67">
        <v>2.81</v>
      </c>
      <c r="I97" s="67">
        <v>3.31</v>
      </c>
      <c r="J97" s="67">
        <v>1.48</v>
      </c>
      <c r="K97" s="67">
        <v>0.88</v>
      </c>
      <c r="L97" s="67">
        <v>8.49</v>
      </c>
      <c r="M97" s="67">
        <v>3.92</v>
      </c>
      <c r="N97" s="67">
        <v>6.62</v>
      </c>
      <c r="O97" s="67">
        <v>19.03</v>
      </c>
      <c r="P97" s="65">
        <f t="shared" si="1"/>
        <v>6.8965517241379315</v>
      </c>
    </row>
    <row r="98" spans="1:16" x14ac:dyDescent="0.25">
      <c r="A98" s="62" t="s">
        <v>200</v>
      </c>
      <c r="B98" s="65">
        <v>20</v>
      </c>
      <c r="C98" s="62" t="s">
        <v>103</v>
      </c>
      <c r="D98" s="63">
        <v>83500</v>
      </c>
      <c r="E98" s="64">
        <v>180</v>
      </c>
      <c r="F98" s="64">
        <v>10</v>
      </c>
      <c r="G98" s="84">
        <v>9.7000000000000003E-2</v>
      </c>
      <c r="H98" s="67">
        <v>1.87</v>
      </c>
      <c r="I98" s="67">
        <v>2.79</v>
      </c>
      <c r="J98" s="67">
        <v>2.25</v>
      </c>
      <c r="K98" s="67">
        <v>0.85</v>
      </c>
      <c r="L98" s="67">
        <v>7.78</v>
      </c>
      <c r="M98" s="67">
        <v>5.96</v>
      </c>
      <c r="N98" s="67">
        <v>6.6</v>
      </c>
      <c r="O98" s="67">
        <v>20.350000000000001</v>
      </c>
      <c r="P98" s="65">
        <f t="shared" si="1"/>
        <v>10.309278350515463</v>
      </c>
    </row>
    <row r="99" spans="1:16" x14ac:dyDescent="0.25">
      <c r="A99" s="62" t="s">
        <v>201</v>
      </c>
      <c r="B99" s="65">
        <v>28</v>
      </c>
      <c r="C99" s="62" t="s">
        <v>106</v>
      </c>
      <c r="D99" s="63">
        <v>80300</v>
      </c>
      <c r="E99" s="64">
        <v>180</v>
      </c>
      <c r="F99" s="64">
        <v>10</v>
      </c>
      <c r="G99" s="84">
        <v>7.4999999999999997E-2</v>
      </c>
      <c r="H99" s="67">
        <v>1.45</v>
      </c>
      <c r="I99" s="67">
        <v>2.57</v>
      </c>
      <c r="J99" s="67">
        <v>1.68</v>
      </c>
      <c r="K99" s="67">
        <v>0.72</v>
      </c>
      <c r="L99" s="67">
        <v>6.45</v>
      </c>
      <c r="M99" s="67">
        <v>4.46</v>
      </c>
      <c r="N99" s="67">
        <v>5.61</v>
      </c>
      <c r="O99" s="67">
        <v>16.52</v>
      </c>
      <c r="P99" s="65">
        <f t="shared" si="1"/>
        <v>13.333333333333334</v>
      </c>
    </row>
    <row r="100" spans="1:16" x14ac:dyDescent="0.25">
      <c r="A100" s="69" t="s">
        <v>202</v>
      </c>
      <c r="B100" s="72">
        <v>15</v>
      </c>
      <c r="C100" s="69" t="s">
        <v>106</v>
      </c>
      <c r="D100" s="70">
        <v>68600</v>
      </c>
      <c r="E100" s="71">
        <v>180</v>
      </c>
      <c r="F100" s="71">
        <v>10</v>
      </c>
      <c r="G100" s="85">
        <v>0.13600000000000001</v>
      </c>
      <c r="H100" s="74">
        <v>2.62</v>
      </c>
      <c r="I100" s="74">
        <v>4.63</v>
      </c>
      <c r="J100" s="74">
        <v>2.59</v>
      </c>
      <c r="K100" s="74">
        <v>1.3</v>
      </c>
      <c r="L100" s="74">
        <v>11.16</v>
      </c>
      <c r="M100" s="74">
        <v>6.86</v>
      </c>
      <c r="N100" s="74">
        <v>10.1</v>
      </c>
      <c r="O100" s="74">
        <v>28.13</v>
      </c>
      <c r="P100" s="72">
        <f t="shared" si="1"/>
        <v>7.3529411764705879</v>
      </c>
    </row>
    <row r="101" spans="1:16" x14ac:dyDescent="0.25">
      <c r="A101" s="62" t="s">
        <v>203</v>
      </c>
      <c r="B101" s="86" t="s">
        <v>204</v>
      </c>
      <c r="C101" s="62" t="s">
        <v>165</v>
      </c>
      <c r="D101" s="63">
        <v>6760</v>
      </c>
      <c r="E101" s="64">
        <v>200</v>
      </c>
      <c r="F101" s="64">
        <v>10</v>
      </c>
      <c r="G101" s="84">
        <v>0.02</v>
      </c>
      <c r="H101" s="67">
        <v>0.38</v>
      </c>
      <c r="I101" s="67">
        <v>0.39</v>
      </c>
      <c r="J101" s="67">
        <v>0.05</v>
      </c>
      <c r="K101" s="67">
        <v>0.09</v>
      </c>
      <c r="L101" s="67">
        <v>0.92</v>
      </c>
      <c r="M101" s="67">
        <v>0.08</v>
      </c>
      <c r="N101" s="67">
        <v>0.67</v>
      </c>
      <c r="O101" s="67">
        <v>1.68</v>
      </c>
      <c r="P101" s="65">
        <f t="shared" si="1"/>
        <v>50</v>
      </c>
    </row>
    <row r="102" spans="1:16" x14ac:dyDescent="0.25">
      <c r="A102" s="62" t="s">
        <v>205</v>
      </c>
      <c r="B102" s="86" t="s">
        <v>204</v>
      </c>
      <c r="C102" s="62" t="s">
        <v>165</v>
      </c>
      <c r="D102" s="63">
        <v>6760</v>
      </c>
      <c r="E102" s="64">
        <v>200</v>
      </c>
      <c r="F102" s="64">
        <v>10</v>
      </c>
      <c r="G102" s="84">
        <v>0.09</v>
      </c>
      <c r="H102" s="67">
        <v>0.18</v>
      </c>
      <c r="I102" s="67">
        <v>0.18</v>
      </c>
      <c r="J102" s="67">
        <v>0.02</v>
      </c>
      <c r="K102" s="67">
        <v>0.04</v>
      </c>
      <c r="L102" s="67">
        <v>0.43</v>
      </c>
      <c r="M102" s="67">
        <v>0.04</v>
      </c>
      <c r="N102" s="67">
        <v>0.31</v>
      </c>
      <c r="O102" s="67">
        <v>0.79</v>
      </c>
      <c r="P102" s="65">
        <f t="shared" si="1"/>
        <v>11.111111111111111</v>
      </c>
    </row>
    <row r="103" spans="1:16" x14ac:dyDescent="0.25">
      <c r="A103" s="69" t="s">
        <v>206</v>
      </c>
      <c r="B103" s="72">
        <f>(4*38)/12</f>
        <v>12.666666666666666</v>
      </c>
      <c r="C103" s="69" t="s">
        <v>99</v>
      </c>
      <c r="D103" s="70">
        <v>25400</v>
      </c>
      <c r="E103" s="71">
        <v>150</v>
      </c>
      <c r="F103" s="71">
        <v>8</v>
      </c>
      <c r="G103" s="85">
        <v>0.154</v>
      </c>
      <c r="H103" s="74">
        <v>3.68</v>
      </c>
      <c r="I103" s="74">
        <v>3.51</v>
      </c>
      <c r="J103" s="74">
        <v>2.61</v>
      </c>
      <c r="K103" s="74">
        <v>0.93</v>
      </c>
      <c r="L103" s="74">
        <v>10.74</v>
      </c>
      <c r="M103" s="74">
        <v>3.67</v>
      </c>
      <c r="N103" s="74">
        <v>7.01</v>
      </c>
      <c r="O103" s="74">
        <v>21.44</v>
      </c>
      <c r="P103" s="72">
        <f t="shared" si="1"/>
        <v>6.4935064935064934</v>
      </c>
    </row>
    <row r="104" spans="1:16" x14ac:dyDescent="0.25">
      <c r="A104" s="69" t="s">
        <v>207</v>
      </c>
      <c r="B104" s="72">
        <f>(6*30)/12</f>
        <v>15</v>
      </c>
      <c r="C104" s="69" t="s">
        <v>101</v>
      </c>
      <c r="D104" s="70">
        <v>25300</v>
      </c>
      <c r="E104" s="71">
        <v>150</v>
      </c>
      <c r="F104" s="71">
        <v>8</v>
      </c>
      <c r="G104" s="85">
        <v>0.13</v>
      </c>
      <c r="H104" s="74">
        <v>3.11</v>
      </c>
      <c r="I104" s="74">
        <v>3.36</v>
      </c>
      <c r="J104" s="74">
        <v>2.2000000000000002</v>
      </c>
      <c r="K104" s="74">
        <v>0.89</v>
      </c>
      <c r="L104" s="74">
        <v>9.58</v>
      </c>
      <c r="M104" s="74">
        <v>3.1</v>
      </c>
      <c r="N104" s="74">
        <v>6.91</v>
      </c>
      <c r="O104" s="74">
        <v>19.600000000000001</v>
      </c>
      <c r="P104" s="72">
        <f t="shared" si="1"/>
        <v>7.6923076923076916</v>
      </c>
    </row>
    <row r="105" spans="1:16" x14ac:dyDescent="0.25">
      <c r="A105" s="69" t="s">
        <v>208</v>
      </c>
      <c r="B105" s="72">
        <f>(6*38)/12</f>
        <v>19</v>
      </c>
      <c r="C105" s="69" t="s">
        <v>101</v>
      </c>
      <c r="D105" s="70">
        <v>25300</v>
      </c>
      <c r="E105" s="71">
        <v>150</v>
      </c>
      <c r="F105" s="71">
        <v>8</v>
      </c>
      <c r="G105" s="85">
        <v>0.13</v>
      </c>
      <c r="H105" s="74">
        <v>2.46</v>
      </c>
      <c r="I105" s="74">
        <v>2.65</v>
      </c>
      <c r="J105" s="74">
        <v>1.74</v>
      </c>
      <c r="K105" s="74">
        <v>0.7</v>
      </c>
      <c r="L105" s="74">
        <v>7.57</v>
      </c>
      <c r="M105" s="74">
        <v>2.44</v>
      </c>
      <c r="N105" s="74">
        <v>5.45</v>
      </c>
      <c r="O105" s="74">
        <v>15.47</v>
      </c>
      <c r="P105" s="72">
        <f t="shared" si="1"/>
        <v>7.6923076923076916</v>
      </c>
    </row>
    <row r="106" spans="1:16" x14ac:dyDescent="0.25">
      <c r="A106" s="69" t="s">
        <v>209</v>
      </c>
      <c r="B106" s="72">
        <f>(8*30)/12</f>
        <v>20</v>
      </c>
      <c r="C106" s="69" t="s">
        <v>103</v>
      </c>
      <c r="D106" s="70">
        <v>26300</v>
      </c>
      <c r="E106" s="71">
        <v>150</v>
      </c>
      <c r="F106" s="71">
        <v>8</v>
      </c>
      <c r="G106" s="85">
        <v>9.8000000000000004E-2</v>
      </c>
      <c r="H106" s="74">
        <v>2.33</v>
      </c>
      <c r="I106" s="74">
        <v>2.82</v>
      </c>
      <c r="J106" s="74">
        <v>1.72</v>
      </c>
      <c r="K106" s="74">
        <v>0.86</v>
      </c>
      <c r="L106" s="74">
        <v>7.74</v>
      </c>
      <c r="M106" s="74">
        <v>2.41</v>
      </c>
      <c r="N106" s="74">
        <v>6.66</v>
      </c>
      <c r="O106" s="74">
        <v>16.829999999999998</v>
      </c>
      <c r="P106" s="72">
        <f t="shared" si="1"/>
        <v>10.204081632653061</v>
      </c>
    </row>
    <row r="107" spans="1:16" x14ac:dyDescent="0.25">
      <c r="A107" s="69" t="s">
        <v>210</v>
      </c>
      <c r="B107" s="72">
        <f>(8*38)/12</f>
        <v>25.333333333333332</v>
      </c>
      <c r="C107" s="69" t="s">
        <v>103</v>
      </c>
      <c r="D107" s="70">
        <v>29500</v>
      </c>
      <c r="E107" s="71">
        <v>150</v>
      </c>
      <c r="F107" s="71">
        <v>8</v>
      </c>
      <c r="G107" s="85">
        <v>7.6999999999999999E-2</v>
      </c>
      <c r="H107" s="74">
        <v>1.84</v>
      </c>
      <c r="I107" s="74">
        <v>2.23</v>
      </c>
      <c r="J107" s="74">
        <v>1.52</v>
      </c>
      <c r="K107" s="74">
        <v>0.68</v>
      </c>
      <c r="L107" s="74">
        <v>6.28</v>
      </c>
      <c r="M107" s="74">
        <v>2.14</v>
      </c>
      <c r="N107" s="74">
        <v>5.27</v>
      </c>
      <c r="O107" s="74">
        <v>13.7</v>
      </c>
      <c r="P107" s="72">
        <f t="shared" si="1"/>
        <v>12.987012987012987</v>
      </c>
    </row>
    <row r="108" spans="1:16" x14ac:dyDescent="0.25">
      <c r="A108" s="69" t="s">
        <v>211</v>
      </c>
      <c r="B108" s="72">
        <f>(8*38)/12</f>
        <v>25.333333333333332</v>
      </c>
      <c r="C108" s="69" t="s">
        <v>103</v>
      </c>
      <c r="D108" s="70">
        <v>32900</v>
      </c>
      <c r="E108" s="71">
        <v>150</v>
      </c>
      <c r="F108" s="71">
        <v>8</v>
      </c>
      <c r="G108" s="85">
        <v>5.0999999999999997E-2</v>
      </c>
      <c r="H108" s="74">
        <v>1.23</v>
      </c>
      <c r="I108" s="74">
        <v>1.48</v>
      </c>
      <c r="J108" s="74">
        <v>1.1299999999999999</v>
      </c>
      <c r="K108" s="74">
        <v>0.45</v>
      </c>
      <c r="L108" s="74">
        <v>4.3</v>
      </c>
      <c r="M108" s="74">
        <v>1.59</v>
      </c>
      <c r="N108" s="74">
        <v>3.51</v>
      </c>
      <c r="O108" s="74">
        <v>9.4</v>
      </c>
      <c r="P108" s="72">
        <f t="shared" si="1"/>
        <v>19.607843137254903</v>
      </c>
    </row>
    <row r="109" spans="1:16" x14ac:dyDescent="0.25">
      <c r="A109" s="69" t="s">
        <v>212</v>
      </c>
      <c r="B109" s="72">
        <f>(12*30)/12</f>
        <v>30</v>
      </c>
      <c r="C109" s="69" t="s">
        <v>106</v>
      </c>
      <c r="D109" s="70">
        <v>36900</v>
      </c>
      <c r="E109" s="71">
        <v>150</v>
      </c>
      <c r="F109" s="71">
        <v>8</v>
      </c>
      <c r="G109" s="85">
        <v>7.8E-2</v>
      </c>
      <c r="H109" s="74">
        <v>1.87</v>
      </c>
      <c r="I109" s="74">
        <v>2.67</v>
      </c>
      <c r="J109" s="74">
        <v>1.93</v>
      </c>
      <c r="K109" s="74">
        <v>0.75</v>
      </c>
      <c r="L109" s="74">
        <v>7.23</v>
      </c>
      <c r="M109" s="74">
        <v>2.71</v>
      </c>
      <c r="N109" s="74">
        <v>5.82</v>
      </c>
      <c r="O109" s="74">
        <v>15.77</v>
      </c>
      <c r="P109" s="72">
        <f t="shared" si="1"/>
        <v>12.820512820512821</v>
      </c>
    </row>
    <row r="110" spans="1:16" x14ac:dyDescent="0.25">
      <c r="A110" s="69" t="s">
        <v>213</v>
      </c>
      <c r="B110" s="72">
        <f>(12*38)/12</f>
        <v>38</v>
      </c>
      <c r="C110" s="69" t="s">
        <v>106</v>
      </c>
      <c r="D110" s="70">
        <v>31100</v>
      </c>
      <c r="E110" s="71">
        <v>150</v>
      </c>
      <c r="F110" s="71">
        <v>8</v>
      </c>
      <c r="G110" s="85">
        <v>5.0999999999999997E-2</v>
      </c>
      <c r="H110" s="74">
        <v>1.23</v>
      </c>
      <c r="I110" s="74">
        <v>1.75</v>
      </c>
      <c r="J110" s="74">
        <v>1.07</v>
      </c>
      <c r="K110" s="74">
        <v>0.49</v>
      </c>
      <c r="L110" s="74">
        <v>4.55</v>
      </c>
      <c r="M110" s="74">
        <v>1.5</v>
      </c>
      <c r="N110" s="74">
        <v>3.83</v>
      </c>
      <c r="O110" s="74">
        <v>9.89</v>
      </c>
      <c r="P110" s="72">
        <f t="shared" si="1"/>
        <v>19.607843137254903</v>
      </c>
    </row>
    <row r="111" spans="1:16" x14ac:dyDescent="0.25">
      <c r="A111" s="62" t="s">
        <v>214</v>
      </c>
      <c r="B111" s="65">
        <v>42</v>
      </c>
      <c r="C111" s="62" t="s">
        <v>106</v>
      </c>
      <c r="D111" s="63">
        <v>101000</v>
      </c>
      <c r="E111" s="64">
        <v>100</v>
      </c>
      <c r="F111" s="64">
        <v>10</v>
      </c>
      <c r="G111" s="84">
        <v>3.6999999999999998E-2</v>
      </c>
      <c r="H111" s="67">
        <v>0.89</v>
      </c>
      <c r="I111" s="67">
        <v>1.28</v>
      </c>
      <c r="J111" s="67">
        <v>0.95</v>
      </c>
      <c r="K111" s="67">
        <v>0.36</v>
      </c>
      <c r="L111" s="67">
        <v>3.5</v>
      </c>
      <c r="M111" s="67">
        <v>5.04</v>
      </c>
      <c r="N111" s="67">
        <v>2.8</v>
      </c>
      <c r="O111" s="67">
        <v>11.34</v>
      </c>
      <c r="P111" s="65">
        <f t="shared" si="1"/>
        <v>27.027027027027028</v>
      </c>
    </row>
    <row r="112" spans="1:16" x14ac:dyDescent="0.25">
      <c r="A112" s="62" t="s">
        <v>215</v>
      </c>
      <c r="B112" s="65">
        <v>50</v>
      </c>
      <c r="C112" s="62" t="s">
        <v>106</v>
      </c>
      <c r="D112" s="63">
        <v>112000</v>
      </c>
      <c r="E112" s="64">
        <v>100</v>
      </c>
      <c r="F112" s="64">
        <v>10</v>
      </c>
      <c r="G112" s="84">
        <v>3.1E-2</v>
      </c>
      <c r="H112" s="67">
        <v>0.75</v>
      </c>
      <c r="I112" s="67">
        <v>1.08</v>
      </c>
      <c r="J112" s="67">
        <v>0.88</v>
      </c>
      <c r="K112" s="67">
        <v>0.3</v>
      </c>
      <c r="L112" s="67">
        <v>3.02</v>
      </c>
      <c r="M112" s="67">
        <v>4.6900000000000004</v>
      </c>
      <c r="N112" s="67">
        <v>2.35</v>
      </c>
      <c r="O112" s="67">
        <v>10.08</v>
      </c>
      <c r="P112" s="65">
        <f t="shared" si="1"/>
        <v>32.258064516129032</v>
      </c>
    </row>
    <row r="113" spans="1:16" x14ac:dyDescent="0.25">
      <c r="A113" s="62" t="s">
        <v>216</v>
      </c>
      <c r="B113" s="65">
        <v>24</v>
      </c>
      <c r="C113" s="62" t="s">
        <v>101</v>
      </c>
      <c r="D113" s="63">
        <v>56100</v>
      </c>
      <c r="E113" s="64">
        <v>100</v>
      </c>
      <c r="F113" s="64">
        <v>10</v>
      </c>
      <c r="G113" s="84">
        <v>6.6000000000000003E-2</v>
      </c>
      <c r="H113" s="67">
        <v>1.57</v>
      </c>
      <c r="I113" s="67">
        <v>1.7</v>
      </c>
      <c r="J113" s="67">
        <v>0.92</v>
      </c>
      <c r="K113" s="67">
        <v>0.45</v>
      </c>
      <c r="L113" s="67">
        <v>4.6500000000000004</v>
      </c>
      <c r="M113" s="67">
        <v>4.9000000000000004</v>
      </c>
      <c r="N113" s="67">
        <v>3.49</v>
      </c>
      <c r="O113" s="67">
        <v>13.04</v>
      </c>
      <c r="P113" s="65">
        <f t="shared" si="1"/>
        <v>15.15151515151515</v>
      </c>
    </row>
    <row r="114" spans="1:16" x14ac:dyDescent="0.25">
      <c r="A114" s="62" t="s">
        <v>217</v>
      </c>
      <c r="B114" s="65">
        <v>32</v>
      </c>
      <c r="C114" s="62" t="s">
        <v>103</v>
      </c>
      <c r="D114" s="63">
        <v>72400</v>
      </c>
      <c r="E114" s="64">
        <v>100</v>
      </c>
      <c r="F114" s="64">
        <v>10</v>
      </c>
      <c r="G114" s="84">
        <v>4.9000000000000002E-2</v>
      </c>
      <c r="H114" s="67">
        <v>1.18</v>
      </c>
      <c r="I114" s="67">
        <v>1.42</v>
      </c>
      <c r="J114" s="67">
        <v>0.89</v>
      </c>
      <c r="K114" s="67">
        <v>0.43</v>
      </c>
      <c r="L114" s="67">
        <v>3.93</v>
      </c>
      <c r="M114" s="67">
        <v>4.74</v>
      </c>
      <c r="N114" s="67">
        <v>3.36</v>
      </c>
      <c r="O114" s="67">
        <v>12.05</v>
      </c>
      <c r="P114" s="65">
        <f t="shared" si="1"/>
        <v>20.408163265306122</v>
      </c>
    </row>
    <row r="115" spans="1:16" x14ac:dyDescent="0.25">
      <c r="A115" s="62" t="s">
        <v>218</v>
      </c>
      <c r="B115" s="65">
        <v>12</v>
      </c>
      <c r="C115" s="62" t="s">
        <v>219</v>
      </c>
      <c r="D115" s="63">
        <v>23900</v>
      </c>
      <c r="E115" s="64">
        <v>100</v>
      </c>
      <c r="F115" s="64">
        <v>10</v>
      </c>
      <c r="G115" s="84">
        <v>0.13200000000000001</v>
      </c>
      <c r="H115" s="67">
        <v>3.14</v>
      </c>
      <c r="I115" s="67">
        <v>3</v>
      </c>
      <c r="J115" s="67">
        <v>0.78</v>
      </c>
      <c r="K115" s="67">
        <v>0.69</v>
      </c>
      <c r="L115" s="67">
        <v>7.63</v>
      </c>
      <c r="M115" s="67">
        <v>4.17</v>
      </c>
      <c r="N115" s="67">
        <v>5.18</v>
      </c>
      <c r="O115" s="67">
        <v>16.989999999999998</v>
      </c>
      <c r="P115" s="65">
        <f t="shared" si="1"/>
        <v>7.5757575757575752</v>
      </c>
    </row>
    <row r="116" spans="1:16" x14ac:dyDescent="0.25">
      <c r="A116" s="62" t="s">
        <v>220</v>
      </c>
      <c r="B116" s="65">
        <v>24</v>
      </c>
      <c r="C116" s="62" t="s">
        <v>101</v>
      </c>
      <c r="D116" s="63">
        <v>50000</v>
      </c>
      <c r="E116" s="64">
        <v>100</v>
      </c>
      <c r="F116" s="64">
        <v>10</v>
      </c>
      <c r="G116" s="84">
        <v>6.2E-2</v>
      </c>
      <c r="H116" s="67">
        <v>1.19</v>
      </c>
      <c r="I116" s="67">
        <v>1.6</v>
      </c>
      <c r="J116" s="67">
        <v>0.77</v>
      </c>
      <c r="K116" s="67">
        <v>0.42</v>
      </c>
      <c r="L116" s="67">
        <v>4</v>
      </c>
      <c r="M116" s="67">
        <v>4.1100000000000003</v>
      </c>
      <c r="N116" s="67">
        <v>3.28</v>
      </c>
      <c r="O116" s="67">
        <v>11.4</v>
      </c>
      <c r="P116" s="65">
        <f t="shared" si="1"/>
        <v>16.129032258064516</v>
      </c>
    </row>
    <row r="117" spans="1:16" x14ac:dyDescent="0.25">
      <c r="A117" s="62" t="s">
        <v>221</v>
      </c>
      <c r="B117" s="65">
        <v>32</v>
      </c>
      <c r="C117" s="62" t="s">
        <v>103</v>
      </c>
      <c r="D117" s="63">
        <v>66300</v>
      </c>
      <c r="E117" s="64">
        <v>100</v>
      </c>
      <c r="F117" s="64">
        <v>10</v>
      </c>
      <c r="G117" s="84">
        <v>4.5999999999999999E-2</v>
      </c>
      <c r="H117" s="67">
        <v>0.89</v>
      </c>
      <c r="I117" s="67">
        <v>1.34</v>
      </c>
      <c r="J117" s="67">
        <v>0.77</v>
      </c>
      <c r="K117" s="67">
        <v>0.4</v>
      </c>
      <c r="L117" s="67">
        <v>3.42</v>
      </c>
      <c r="M117" s="67">
        <v>4.08</v>
      </c>
      <c r="N117" s="67">
        <v>3.16</v>
      </c>
      <c r="O117" s="67">
        <v>10.68</v>
      </c>
      <c r="P117" s="65">
        <f t="shared" si="1"/>
        <v>21.739130434782609</v>
      </c>
    </row>
    <row r="118" spans="1:16" x14ac:dyDescent="0.25">
      <c r="A118" s="62" t="s">
        <v>222</v>
      </c>
      <c r="B118" s="65">
        <v>42</v>
      </c>
      <c r="C118" s="62" t="s">
        <v>106</v>
      </c>
      <c r="D118" s="63">
        <v>90700</v>
      </c>
      <c r="E118" s="64">
        <v>100</v>
      </c>
      <c r="F118" s="64">
        <v>10</v>
      </c>
      <c r="G118" s="84">
        <v>3.5000000000000003E-2</v>
      </c>
      <c r="H118" s="67">
        <v>0.68</v>
      </c>
      <c r="I118" s="67">
        <v>1.21</v>
      </c>
      <c r="J118" s="67">
        <v>0.8</v>
      </c>
      <c r="K118" s="67">
        <v>0.34</v>
      </c>
      <c r="L118" s="67">
        <v>3.04</v>
      </c>
      <c r="M118" s="67">
        <v>4.26</v>
      </c>
      <c r="N118" s="67">
        <v>2.63</v>
      </c>
      <c r="O118" s="67">
        <v>9.94</v>
      </c>
      <c r="P118" s="65">
        <f t="shared" si="1"/>
        <v>28.571428571428569</v>
      </c>
    </row>
    <row r="119" spans="1:16" x14ac:dyDescent="0.25">
      <c r="A119" s="62" t="s">
        <v>223</v>
      </c>
      <c r="B119" s="65">
        <v>50</v>
      </c>
      <c r="C119" s="62" t="s">
        <v>106</v>
      </c>
      <c r="D119" s="63">
        <v>98000</v>
      </c>
      <c r="E119" s="64">
        <v>100</v>
      </c>
      <c r="F119" s="64">
        <v>10</v>
      </c>
      <c r="G119" s="84">
        <v>2.9000000000000001E-2</v>
      </c>
      <c r="H119" s="67">
        <v>0.56999999999999995</v>
      </c>
      <c r="I119" s="67">
        <v>1.01</v>
      </c>
      <c r="J119" s="67">
        <v>0.73</v>
      </c>
      <c r="K119" s="67">
        <v>0.28000000000000003</v>
      </c>
      <c r="L119" s="67">
        <v>2.61</v>
      </c>
      <c r="M119" s="67">
        <v>3.86</v>
      </c>
      <c r="N119" s="67">
        <v>2.21</v>
      </c>
      <c r="O119" s="67">
        <v>8.69</v>
      </c>
      <c r="P119" s="65">
        <f t="shared" si="1"/>
        <v>34.482758620689651</v>
      </c>
    </row>
    <row r="120" spans="1:16" x14ac:dyDescent="0.25">
      <c r="A120" s="62" t="s">
        <v>224</v>
      </c>
      <c r="B120" s="65">
        <v>12</v>
      </c>
      <c r="C120" s="62" t="s">
        <v>219</v>
      </c>
      <c r="D120" s="63">
        <v>17800</v>
      </c>
      <c r="E120" s="64">
        <v>100</v>
      </c>
      <c r="F120" s="64">
        <v>10</v>
      </c>
      <c r="G120" s="84">
        <v>0.124</v>
      </c>
      <c r="H120" s="67">
        <v>2.39</v>
      </c>
      <c r="I120" s="67">
        <v>2.82</v>
      </c>
      <c r="J120" s="67">
        <v>0.55000000000000004</v>
      </c>
      <c r="K120" s="67">
        <v>0.65</v>
      </c>
      <c r="L120" s="67">
        <v>6.42</v>
      </c>
      <c r="M120" s="67">
        <v>2.92</v>
      </c>
      <c r="N120" s="67">
        <v>4.87</v>
      </c>
      <c r="O120" s="67">
        <v>14.23</v>
      </c>
      <c r="P120" s="65">
        <f t="shared" si="1"/>
        <v>8.064516129032258</v>
      </c>
    </row>
    <row r="121" spans="1:16" x14ac:dyDescent="0.25">
      <c r="A121" s="69" t="s">
        <v>225</v>
      </c>
      <c r="B121" s="87" t="s">
        <v>204</v>
      </c>
      <c r="C121" s="69" t="s">
        <v>103</v>
      </c>
      <c r="D121" s="70">
        <v>36400</v>
      </c>
      <c r="E121" s="71">
        <v>200</v>
      </c>
      <c r="F121" s="71">
        <v>12</v>
      </c>
      <c r="G121" s="85">
        <v>2.5000000000000001E-2</v>
      </c>
      <c r="H121" s="74">
        <v>0.48</v>
      </c>
      <c r="I121" s="74">
        <v>0.72</v>
      </c>
      <c r="J121" s="74">
        <v>0.24</v>
      </c>
      <c r="K121" s="74">
        <v>0.22</v>
      </c>
      <c r="L121" s="74">
        <v>1.68</v>
      </c>
      <c r="M121" s="74">
        <v>0.55000000000000004</v>
      </c>
      <c r="N121" s="74">
        <v>1.71</v>
      </c>
      <c r="O121" s="74">
        <v>3.96</v>
      </c>
      <c r="P121" s="72">
        <f t="shared" si="1"/>
        <v>40</v>
      </c>
    </row>
    <row r="122" spans="1:16" x14ac:dyDescent="0.25">
      <c r="A122" s="69" t="s">
        <v>226</v>
      </c>
      <c r="B122" s="87" t="s">
        <v>204</v>
      </c>
      <c r="C122" s="69" t="s">
        <v>103</v>
      </c>
      <c r="D122" s="70">
        <v>49900</v>
      </c>
      <c r="E122" s="71">
        <v>200</v>
      </c>
      <c r="F122" s="71">
        <v>12</v>
      </c>
      <c r="G122" s="85">
        <v>2.5000000000000001E-2</v>
      </c>
      <c r="H122" s="74">
        <v>0.48</v>
      </c>
      <c r="I122" s="74">
        <v>0.72</v>
      </c>
      <c r="J122" s="74">
        <v>0.34</v>
      </c>
      <c r="K122" s="74">
        <v>0.22</v>
      </c>
      <c r="L122" s="74">
        <v>1.77</v>
      </c>
      <c r="M122" s="74">
        <v>0.76</v>
      </c>
      <c r="N122" s="74">
        <v>1.71</v>
      </c>
      <c r="O122" s="74">
        <v>4.26</v>
      </c>
      <c r="P122" s="72">
        <f t="shared" si="1"/>
        <v>40</v>
      </c>
    </row>
    <row r="123" spans="1:16" x14ac:dyDescent="0.25">
      <c r="A123" s="69" t="s">
        <v>227</v>
      </c>
      <c r="B123" s="87" t="s">
        <v>204</v>
      </c>
      <c r="C123" s="69" t="s">
        <v>106</v>
      </c>
      <c r="D123" s="70">
        <v>71700</v>
      </c>
      <c r="E123" s="71">
        <v>200</v>
      </c>
      <c r="F123" s="71">
        <v>12</v>
      </c>
      <c r="G123" s="85">
        <v>2.5000000000000001E-2</v>
      </c>
      <c r="H123" s="74">
        <v>0.48</v>
      </c>
      <c r="I123" s="74">
        <v>0.86</v>
      </c>
      <c r="J123" s="74">
        <v>0.49</v>
      </c>
      <c r="K123" s="74">
        <v>0.24</v>
      </c>
      <c r="L123" s="74">
        <v>2.08</v>
      </c>
      <c r="M123" s="74">
        <v>1.0900000000000001</v>
      </c>
      <c r="N123" s="74">
        <v>1.87</v>
      </c>
      <c r="O123" s="74">
        <v>5.05</v>
      </c>
      <c r="P123" s="72">
        <f t="shared" si="1"/>
        <v>40</v>
      </c>
    </row>
    <row r="124" spans="1:16" x14ac:dyDescent="0.25">
      <c r="A124" s="69" t="s">
        <v>228</v>
      </c>
      <c r="B124" s="87" t="s">
        <v>204</v>
      </c>
      <c r="C124" s="69" t="s">
        <v>103</v>
      </c>
      <c r="D124" s="70">
        <v>36400</v>
      </c>
      <c r="E124" s="71">
        <v>200</v>
      </c>
      <c r="F124" s="71">
        <v>12</v>
      </c>
      <c r="G124" s="85">
        <v>6.2E-2</v>
      </c>
      <c r="H124" s="74">
        <v>1.2</v>
      </c>
      <c r="I124" s="74">
        <v>1.79</v>
      </c>
      <c r="J124" s="74">
        <v>0.61</v>
      </c>
      <c r="K124" s="74">
        <v>0.54</v>
      </c>
      <c r="L124" s="74">
        <v>4.16</v>
      </c>
      <c r="M124" s="74">
        <v>1.37</v>
      </c>
      <c r="N124" s="74">
        <v>4.24</v>
      </c>
      <c r="O124" s="74">
        <v>9.7799999999999994</v>
      </c>
      <c r="P124" s="72">
        <f t="shared" si="1"/>
        <v>16.129032258064516</v>
      </c>
    </row>
    <row r="125" spans="1:16" x14ac:dyDescent="0.25">
      <c r="A125" s="69" t="s">
        <v>229</v>
      </c>
      <c r="B125" s="87" t="s">
        <v>204</v>
      </c>
      <c r="C125" s="69" t="s">
        <v>103</v>
      </c>
      <c r="D125" s="70">
        <v>49900</v>
      </c>
      <c r="E125" s="71">
        <v>200</v>
      </c>
      <c r="F125" s="71">
        <v>12</v>
      </c>
      <c r="G125" s="85">
        <v>5.5E-2</v>
      </c>
      <c r="H125" s="74">
        <v>1.06</v>
      </c>
      <c r="I125" s="74">
        <v>1.58</v>
      </c>
      <c r="J125" s="74">
        <v>0.74</v>
      </c>
      <c r="K125" s="74">
        <v>0.48</v>
      </c>
      <c r="L125" s="74">
        <v>3.86</v>
      </c>
      <c r="M125" s="74">
        <v>1.65</v>
      </c>
      <c r="N125" s="74">
        <v>3.73</v>
      </c>
      <c r="O125" s="74">
        <v>9.26</v>
      </c>
      <c r="P125" s="72">
        <f t="shared" si="1"/>
        <v>18.181818181818183</v>
      </c>
    </row>
    <row r="126" spans="1:16" x14ac:dyDescent="0.25">
      <c r="A126" s="69" t="s">
        <v>230</v>
      </c>
      <c r="B126" s="87" t="s">
        <v>204</v>
      </c>
      <c r="C126" s="69" t="s">
        <v>103</v>
      </c>
      <c r="D126" s="70">
        <v>71700</v>
      </c>
      <c r="E126" s="71">
        <v>200</v>
      </c>
      <c r="F126" s="71">
        <v>12</v>
      </c>
      <c r="G126" s="85">
        <v>4.4999999999999998E-2</v>
      </c>
      <c r="H126" s="74">
        <v>0.88</v>
      </c>
      <c r="I126" s="74">
        <v>1.31</v>
      </c>
      <c r="J126" s="74">
        <v>0.89</v>
      </c>
      <c r="K126" s="74">
        <v>0.4</v>
      </c>
      <c r="L126" s="74">
        <v>3.49</v>
      </c>
      <c r="M126" s="74">
        <v>1.98</v>
      </c>
      <c r="N126" s="74">
        <v>3.11</v>
      </c>
      <c r="O126" s="74">
        <v>8.59</v>
      </c>
      <c r="P126" s="72">
        <f t="shared" si="1"/>
        <v>22.222222222222221</v>
      </c>
    </row>
    <row r="127" spans="1:16" x14ac:dyDescent="0.25">
      <c r="A127" s="69" t="s">
        <v>231</v>
      </c>
      <c r="B127" s="87" t="s">
        <v>204</v>
      </c>
      <c r="C127" s="69" t="s">
        <v>103</v>
      </c>
      <c r="D127" s="70">
        <v>36400</v>
      </c>
      <c r="E127" s="71">
        <v>200</v>
      </c>
      <c r="F127" s="71">
        <v>12</v>
      </c>
      <c r="G127" s="85">
        <v>2.5000000000000001E-2</v>
      </c>
      <c r="H127" s="74">
        <v>0.49</v>
      </c>
      <c r="I127" s="74">
        <v>0.73</v>
      </c>
      <c r="J127" s="74">
        <v>0.25</v>
      </c>
      <c r="K127" s="74">
        <v>0.22</v>
      </c>
      <c r="L127" s="74">
        <v>1.7</v>
      </c>
      <c r="M127" s="74">
        <v>0.56000000000000005</v>
      </c>
      <c r="N127" s="74">
        <v>1.73</v>
      </c>
      <c r="O127" s="74">
        <v>3.99</v>
      </c>
      <c r="P127" s="72">
        <f t="shared" si="1"/>
        <v>40</v>
      </c>
    </row>
    <row r="128" spans="1:16" x14ac:dyDescent="0.25">
      <c r="A128" s="69" t="s">
        <v>232</v>
      </c>
      <c r="B128" s="87" t="s">
        <v>204</v>
      </c>
      <c r="C128" s="69" t="s">
        <v>103</v>
      </c>
      <c r="D128" s="70">
        <v>49900</v>
      </c>
      <c r="E128" s="71">
        <v>200</v>
      </c>
      <c r="F128" s="71">
        <v>12</v>
      </c>
      <c r="G128" s="85">
        <v>2.1000000000000001E-2</v>
      </c>
      <c r="H128" s="74">
        <v>0.4</v>
      </c>
      <c r="I128" s="74">
        <v>0.61</v>
      </c>
      <c r="J128" s="74">
        <v>0.28000000000000003</v>
      </c>
      <c r="K128" s="74">
        <v>0.18</v>
      </c>
      <c r="L128" s="74">
        <v>1.49</v>
      </c>
      <c r="M128" s="74">
        <v>0.64</v>
      </c>
      <c r="N128" s="74">
        <v>1.44</v>
      </c>
      <c r="O128" s="74">
        <v>3.57</v>
      </c>
      <c r="P128" s="72">
        <f t="shared" si="1"/>
        <v>47.619047619047613</v>
      </c>
    </row>
    <row r="129" spans="1:16" x14ac:dyDescent="0.25">
      <c r="A129" s="69" t="s">
        <v>233</v>
      </c>
      <c r="B129" s="87" t="s">
        <v>204</v>
      </c>
      <c r="C129" s="69" t="s">
        <v>103</v>
      </c>
      <c r="D129" s="70">
        <v>71700</v>
      </c>
      <c r="E129" s="71">
        <v>200</v>
      </c>
      <c r="F129" s="71">
        <v>12</v>
      </c>
      <c r="G129" s="85">
        <v>2.1000000000000001E-2</v>
      </c>
      <c r="H129" s="74">
        <v>0.4</v>
      </c>
      <c r="I129" s="74">
        <v>0.61</v>
      </c>
      <c r="J129" s="74">
        <v>0.41</v>
      </c>
      <c r="K129" s="74">
        <v>0.18</v>
      </c>
      <c r="L129" s="74">
        <v>1.61</v>
      </c>
      <c r="M129" s="74">
        <v>0.92</v>
      </c>
      <c r="N129" s="74">
        <v>1.44</v>
      </c>
      <c r="O129" s="74">
        <v>3.98</v>
      </c>
      <c r="P129" s="72">
        <f t="shared" si="1"/>
        <v>47.619047619047613</v>
      </c>
    </row>
    <row r="130" spans="1:16" x14ac:dyDescent="0.25">
      <c r="A130" s="69" t="s">
        <v>234</v>
      </c>
      <c r="B130" s="87" t="s">
        <v>204</v>
      </c>
      <c r="C130" s="69" t="s">
        <v>103</v>
      </c>
      <c r="D130" s="70">
        <v>36400</v>
      </c>
      <c r="E130" s="71">
        <v>200</v>
      </c>
      <c r="F130" s="71">
        <v>12</v>
      </c>
      <c r="G130" s="85">
        <v>2.5000000000000001E-2</v>
      </c>
      <c r="H130" s="74">
        <v>0.49</v>
      </c>
      <c r="I130" s="74">
        <v>0.73</v>
      </c>
      <c r="J130" s="74">
        <v>0.25</v>
      </c>
      <c r="K130" s="74">
        <v>0.22</v>
      </c>
      <c r="L130" s="74">
        <v>1.7</v>
      </c>
      <c r="M130" s="74">
        <v>0.56000000000000005</v>
      </c>
      <c r="N130" s="74">
        <v>1.73</v>
      </c>
      <c r="O130" s="74">
        <v>3.99</v>
      </c>
      <c r="P130" s="72">
        <f t="shared" si="1"/>
        <v>40</v>
      </c>
    </row>
    <row r="131" spans="1:16" x14ac:dyDescent="0.25">
      <c r="A131" s="69" t="s">
        <v>235</v>
      </c>
      <c r="B131" s="87" t="s">
        <v>204</v>
      </c>
      <c r="C131" s="69" t="s">
        <v>103</v>
      </c>
      <c r="D131" s="70">
        <v>49900</v>
      </c>
      <c r="E131" s="71">
        <v>200</v>
      </c>
      <c r="F131" s="71">
        <v>12</v>
      </c>
      <c r="G131" s="85">
        <v>2.1000000000000001E-2</v>
      </c>
      <c r="H131" s="74">
        <v>0.4</v>
      </c>
      <c r="I131" s="74">
        <v>0.61</v>
      </c>
      <c r="J131" s="74">
        <v>0.28000000000000003</v>
      </c>
      <c r="K131" s="74">
        <v>0.18</v>
      </c>
      <c r="L131" s="74">
        <v>1.49</v>
      </c>
      <c r="M131" s="74">
        <v>0.64</v>
      </c>
      <c r="N131" s="74">
        <v>1.44</v>
      </c>
      <c r="O131" s="74">
        <v>3.57</v>
      </c>
      <c r="P131" s="72">
        <f t="shared" si="1"/>
        <v>47.619047619047613</v>
      </c>
    </row>
    <row r="132" spans="1:16" x14ac:dyDescent="0.25">
      <c r="A132" s="69" t="s">
        <v>236</v>
      </c>
      <c r="B132" s="87" t="s">
        <v>204</v>
      </c>
      <c r="C132" s="69" t="s">
        <v>103</v>
      </c>
      <c r="D132" s="70">
        <v>71700</v>
      </c>
      <c r="E132" s="71">
        <v>200</v>
      </c>
      <c r="F132" s="71">
        <v>12</v>
      </c>
      <c r="G132" s="85">
        <v>2.1000000000000001E-2</v>
      </c>
      <c r="H132" s="74">
        <v>0.4</v>
      </c>
      <c r="I132" s="74">
        <v>0.61</v>
      </c>
      <c r="J132" s="74">
        <v>0.41</v>
      </c>
      <c r="K132" s="74">
        <v>0.18</v>
      </c>
      <c r="L132" s="74">
        <v>1.61</v>
      </c>
      <c r="M132" s="74">
        <v>0.92</v>
      </c>
      <c r="N132" s="74">
        <v>1.44</v>
      </c>
      <c r="O132" s="74">
        <v>3.98</v>
      </c>
      <c r="P132" s="72">
        <f t="shared" si="1"/>
        <v>47.619047619047613</v>
      </c>
    </row>
    <row r="133" spans="1:16" x14ac:dyDescent="0.25">
      <c r="A133" s="62" t="s">
        <v>237</v>
      </c>
      <c r="B133" s="65">
        <f>(8*38)/12</f>
        <v>25.333333333333332</v>
      </c>
      <c r="C133" s="62" t="s">
        <v>106</v>
      </c>
      <c r="D133" s="63">
        <v>57000</v>
      </c>
      <c r="E133" s="64">
        <v>150</v>
      </c>
      <c r="F133" s="64">
        <v>8</v>
      </c>
      <c r="G133" s="84">
        <v>6.2E-2</v>
      </c>
      <c r="H133" s="67">
        <v>1.78</v>
      </c>
      <c r="I133" s="67">
        <v>2.14</v>
      </c>
      <c r="J133" s="67">
        <v>1.34</v>
      </c>
      <c r="K133" s="67">
        <v>0.6</v>
      </c>
      <c r="L133" s="67">
        <v>5.86</v>
      </c>
      <c r="M133" s="67">
        <v>3.24</v>
      </c>
      <c r="N133" s="67">
        <v>4.66</v>
      </c>
      <c r="O133" s="67">
        <v>13.77</v>
      </c>
      <c r="P133" s="65">
        <f t="shared" ref="P133:P196" si="2">1/G133</f>
        <v>16.129032258064516</v>
      </c>
    </row>
    <row r="134" spans="1:16" x14ac:dyDescent="0.25">
      <c r="A134" s="62" t="s">
        <v>238</v>
      </c>
      <c r="B134" s="65">
        <v>10</v>
      </c>
      <c r="C134" s="62" t="s">
        <v>165</v>
      </c>
      <c r="D134" s="63">
        <v>52500</v>
      </c>
      <c r="E134" s="64">
        <v>150</v>
      </c>
      <c r="F134" s="64">
        <v>8</v>
      </c>
      <c r="G134" s="84">
        <v>0.20300000000000001</v>
      </c>
      <c r="H134" s="67">
        <v>5.75</v>
      </c>
      <c r="I134" s="67">
        <v>3.99</v>
      </c>
      <c r="J134" s="67">
        <v>3.99</v>
      </c>
      <c r="K134" s="67">
        <v>0.91</v>
      </c>
      <c r="L134" s="67">
        <v>14.66</v>
      </c>
      <c r="M134" s="67">
        <v>9.65</v>
      </c>
      <c r="N134" s="67">
        <v>6.85</v>
      </c>
      <c r="O134" s="67">
        <v>31.17</v>
      </c>
      <c r="P134" s="65">
        <f t="shared" si="2"/>
        <v>4.9261083743842358</v>
      </c>
    </row>
    <row r="135" spans="1:16" x14ac:dyDescent="0.25">
      <c r="A135" s="62" t="s">
        <v>239</v>
      </c>
      <c r="B135" s="65">
        <v>12</v>
      </c>
      <c r="C135" s="62" t="s">
        <v>165</v>
      </c>
      <c r="D135" s="63">
        <v>61500</v>
      </c>
      <c r="E135" s="64">
        <v>150</v>
      </c>
      <c r="F135" s="64">
        <v>8</v>
      </c>
      <c r="G135" s="84">
        <v>0.16900000000000001</v>
      </c>
      <c r="H135" s="67">
        <v>4.79</v>
      </c>
      <c r="I135" s="67">
        <v>3.32</v>
      </c>
      <c r="J135" s="67">
        <v>3.9</v>
      </c>
      <c r="K135" s="67">
        <v>0.76</v>
      </c>
      <c r="L135" s="67">
        <v>12.79</v>
      </c>
      <c r="M135" s="67">
        <v>9.42</v>
      </c>
      <c r="N135" s="67">
        <v>5.71</v>
      </c>
      <c r="O135" s="67">
        <v>27.92</v>
      </c>
      <c r="P135" s="65">
        <f t="shared" si="2"/>
        <v>5.9171597633136095</v>
      </c>
    </row>
    <row r="136" spans="1:16" x14ac:dyDescent="0.25">
      <c r="A136" s="62" t="s">
        <v>240</v>
      </c>
      <c r="B136" s="65">
        <v>15</v>
      </c>
      <c r="C136" s="62" t="s">
        <v>99</v>
      </c>
      <c r="D136" s="63">
        <v>56000</v>
      </c>
      <c r="E136" s="64">
        <v>150</v>
      </c>
      <c r="F136" s="64">
        <v>8</v>
      </c>
      <c r="G136" s="84">
        <v>0.13500000000000001</v>
      </c>
      <c r="H136" s="67">
        <v>3.83</v>
      </c>
      <c r="I136" s="67">
        <v>3.07</v>
      </c>
      <c r="J136" s="67">
        <v>2.84</v>
      </c>
      <c r="K136" s="67">
        <v>0.82</v>
      </c>
      <c r="L136" s="67">
        <v>10.57</v>
      </c>
      <c r="M136" s="67">
        <v>6.86</v>
      </c>
      <c r="N136" s="67">
        <v>6.14</v>
      </c>
      <c r="O136" s="67">
        <v>23.57</v>
      </c>
      <c r="P136" s="65">
        <f t="shared" si="2"/>
        <v>7.4074074074074066</v>
      </c>
    </row>
    <row r="137" spans="1:16" x14ac:dyDescent="0.25">
      <c r="A137" s="62" t="s">
        <v>241</v>
      </c>
      <c r="B137" s="65">
        <v>20</v>
      </c>
      <c r="C137" s="62" t="s">
        <v>101</v>
      </c>
      <c r="D137" s="63">
        <v>61200</v>
      </c>
      <c r="E137" s="64">
        <v>150</v>
      </c>
      <c r="F137" s="64">
        <v>8</v>
      </c>
      <c r="G137" s="84">
        <v>0.10100000000000001</v>
      </c>
      <c r="H137" s="67">
        <v>2.87</v>
      </c>
      <c r="I137" s="67">
        <v>2.61</v>
      </c>
      <c r="J137" s="67">
        <v>2.33</v>
      </c>
      <c r="K137" s="67">
        <v>0.69</v>
      </c>
      <c r="L137" s="67">
        <v>8.51</v>
      </c>
      <c r="M137" s="67">
        <v>5.62</v>
      </c>
      <c r="N137" s="67">
        <v>5.36</v>
      </c>
      <c r="O137" s="67">
        <v>19.5</v>
      </c>
      <c r="P137" s="65">
        <f t="shared" si="2"/>
        <v>9.9009900990099009</v>
      </c>
    </row>
    <row r="138" spans="1:16" x14ac:dyDescent="0.25">
      <c r="A138" s="62" t="s">
        <v>242</v>
      </c>
      <c r="B138" s="65">
        <v>24</v>
      </c>
      <c r="C138" s="62" t="s">
        <v>103</v>
      </c>
      <c r="D138" s="63">
        <v>93500</v>
      </c>
      <c r="E138" s="64">
        <v>150</v>
      </c>
      <c r="F138" s="64">
        <v>8</v>
      </c>
      <c r="G138" s="84">
        <v>8.4000000000000005E-2</v>
      </c>
      <c r="H138" s="67">
        <v>2.39</v>
      </c>
      <c r="I138" s="67">
        <v>2.4300000000000002</v>
      </c>
      <c r="J138" s="67">
        <v>2.96</v>
      </c>
      <c r="K138" s="67">
        <v>0.74</v>
      </c>
      <c r="L138" s="67">
        <v>8.5399999999999991</v>
      </c>
      <c r="M138" s="67">
        <v>7.16</v>
      </c>
      <c r="N138" s="67">
        <v>5.74</v>
      </c>
      <c r="O138" s="67">
        <v>21.45</v>
      </c>
      <c r="P138" s="65">
        <f t="shared" si="2"/>
        <v>11.904761904761903</v>
      </c>
    </row>
    <row r="139" spans="1:16" x14ac:dyDescent="0.25">
      <c r="A139" s="62" t="s">
        <v>243</v>
      </c>
      <c r="B139" s="65">
        <v>30</v>
      </c>
      <c r="C139" s="62" t="s">
        <v>106</v>
      </c>
      <c r="D139" s="63">
        <v>109000</v>
      </c>
      <c r="E139" s="64">
        <v>150</v>
      </c>
      <c r="F139" s="64">
        <v>8</v>
      </c>
      <c r="G139" s="84">
        <v>6.7000000000000004E-2</v>
      </c>
      <c r="H139" s="67">
        <v>1.91</v>
      </c>
      <c r="I139" s="67">
        <v>2.2999999999999998</v>
      </c>
      <c r="J139" s="67">
        <v>2.76</v>
      </c>
      <c r="K139" s="67">
        <v>0.64</v>
      </c>
      <c r="L139" s="67">
        <v>7.63</v>
      </c>
      <c r="M139" s="67">
        <v>6.67</v>
      </c>
      <c r="N139" s="67">
        <v>5.0199999999999996</v>
      </c>
      <c r="O139" s="67">
        <v>19.34</v>
      </c>
      <c r="P139" s="65">
        <f t="shared" si="2"/>
        <v>14.925373134328357</v>
      </c>
    </row>
    <row r="140" spans="1:16" x14ac:dyDescent="0.25">
      <c r="A140" s="62" t="s">
        <v>244</v>
      </c>
      <c r="B140" s="65">
        <v>35</v>
      </c>
      <c r="C140" s="62" t="s">
        <v>106</v>
      </c>
      <c r="D140" s="63">
        <v>125000</v>
      </c>
      <c r="E140" s="64">
        <v>150</v>
      </c>
      <c r="F140" s="64">
        <v>8</v>
      </c>
      <c r="G140" s="84">
        <v>5.8000000000000003E-2</v>
      </c>
      <c r="H140" s="67">
        <v>1.64</v>
      </c>
      <c r="I140" s="67">
        <v>1.97</v>
      </c>
      <c r="J140" s="67">
        <v>2.71</v>
      </c>
      <c r="K140" s="67">
        <v>0.55000000000000004</v>
      </c>
      <c r="L140" s="67">
        <v>6.89</v>
      </c>
      <c r="M140" s="67">
        <v>6.56</v>
      </c>
      <c r="N140" s="67">
        <v>4.3</v>
      </c>
      <c r="O140" s="67">
        <v>17.760000000000002</v>
      </c>
      <c r="P140" s="65">
        <f t="shared" si="2"/>
        <v>17.241379310344826</v>
      </c>
    </row>
    <row r="141" spans="1:16" x14ac:dyDescent="0.25">
      <c r="A141" s="62" t="s">
        <v>245</v>
      </c>
      <c r="B141" s="65">
        <v>10</v>
      </c>
      <c r="C141" s="62" t="s">
        <v>165</v>
      </c>
      <c r="D141" s="63">
        <v>46400</v>
      </c>
      <c r="E141" s="64">
        <v>150</v>
      </c>
      <c r="F141" s="64">
        <v>8</v>
      </c>
      <c r="G141" s="84">
        <v>0.188</v>
      </c>
      <c r="H141" s="67">
        <v>5.34</v>
      </c>
      <c r="I141" s="67">
        <v>3.7</v>
      </c>
      <c r="J141" s="67">
        <v>3.28</v>
      </c>
      <c r="K141" s="67">
        <v>0.85</v>
      </c>
      <c r="L141" s="67">
        <v>13.18</v>
      </c>
      <c r="M141" s="67">
        <v>7.92</v>
      </c>
      <c r="N141" s="67">
        <v>6.36</v>
      </c>
      <c r="O141" s="67">
        <v>27.47</v>
      </c>
      <c r="P141" s="65">
        <f t="shared" si="2"/>
        <v>5.3191489361702127</v>
      </c>
    </row>
    <row r="142" spans="1:16" x14ac:dyDescent="0.25">
      <c r="A142" s="62" t="s">
        <v>246</v>
      </c>
      <c r="B142" s="65">
        <v>12</v>
      </c>
      <c r="C142" s="62" t="s">
        <v>165</v>
      </c>
      <c r="D142" s="63">
        <v>55400</v>
      </c>
      <c r="E142" s="64">
        <v>150</v>
      </c>
      <c r="F142" s="64">
        <v>8</v>
      </c>
      <c r="G142" s="84">
        <v>0.157</v>
      </c>
      <c r="H142" s="67">
        <v>4.45</v>
      </c>
      <c r="I142" s="67">
        <v>3.09</v>
      </c>
      <c r="J142" s="67">
        <v>3.26</v>
      </c>
      <c r="K142" s="67">
        <v>0.7</v>
      </c>
      <c r="L142" s="67">
        <v>11.51</v>
      </c>
      <c r="M142" s="67">
        <v>7.88</v>
      </c>
      <c r="N142" s="67">
        <v>5.3</v>
      </c>
      <c r="O142" s="67">
        <v>24.7</v>
      </c>
      <c r="P142" s="65">
        <f t="shared" si="2"/>
        <v>6.369426751592357</v>
      </c>
    </row>
    <row r="143" spans="1:16" x14ac:dyDescent="0.25">
      <c r="A143" s="62" t="s">
        <v>247</v>
      </c>
      <c r="B143" s="65">
        <v>15</v>
      </c>
      <c r="C143" s="62" t="s">
        <v>99</v>
      </c>
      <c r="D143" s="63">
        <v>49900</v>
      </c>
      <c r="E143" s="64">
        <v>150</v>
      </c>
      <c r="F143" s="64">
        <v>8</v>
      </c>
      <c r="G143" s="84">
        <v>0.125</v>
      </c>
      <c r="H143" s="67">
        <v>3.56</v>
      </c>
      <c r="I143" s="67">
        <v>2.85</v>
      </c>
      <c r="J143" s="67">
        <v>2.35</v>
      </c>
      <c r="K143" s="67">
        <v>0.76</v>
      </c>
      <c r="L143" s="67">
        <v>9.5299999999999994</v>
      </c>
      <c r="M143" s="67">
        <v>5.67</v>
      </c>
      <c r="N143" s="67">
        <v>5.7</v>
      </c>
      <c r="O143" s="67">
        <v>20.91</v>
      </c>
      <c r="P143" s="65">
        <f t="shared" si="2"/>
        <v>8</v>
      </c>
    </row>
    <row r="144" spans="1:16" x14ac:dyDescent="0.25">
      <c r="A144" s="62" t="s">
        <v>248</v>
      </c>
      <c r="B144" s="65">
        <v>20</v>
      </c>
      <c r="C144" s="62" t="s">
        <v>101</v>
      </c>
      <c r="D144" s="63">
        <v>55100</v>
      </c>
      <c r="E144" s="64">
        <v>150</v>
      </c>
      <c r="F144" s="64">
        <v>8</v>
      </c>
      <c r="G144" s="84">
        <v>9.4E-2</v>
      </c>
      <c r="H144" s="67">
        <v>2.67</v>
      </c>
      <c r="I144" s="67">
        <v>2.42</v>
      </c>
      <c r="J144" s="67">
        <v>1.94</v>
      </c>
      <c r="K144" s="67">
        <v>0.64</v>
      </c>
      <c r="L144" s="67">
        <v>7.68</v>
      </c>
      <c r="M144" s="67">
        <v>4.7</v>
      </c>
      <c r="N144" s="67">
        <v>4.97</v>
      </c>
      <c r="O144" s="67">
        <v>17.37</v>
      </c>
      <c r="P144" s="65">
        <f t="shared" si="2"/>
        <v>10.638297872340425</v>
      </c>
    </row>
    <row r="145" spans="1:16" x14ac:dyDescent="0.25">
      <c r="A145" s="62" t="s">
        <v>249</v>
      </c>
      <c r="B145" s="65">
        <v>24</v>
      </c>
      <c r="C145" s="62" t="s">
        <v>103</v>
      </c>
      <c r="D145" s="63">
        <v>87400</v>
      </c>
      <c r="E145" s="64">
        <v>150</v>
      </c>
      <c r="F145" s="64">
        <v>8</v>
      </c>
      <c r="G145" s="84">
        <v>7.8E-2</v>
      </c>
      <c r="H145" s="67">
        <v>2.2200000000000002</v>
      </c>
      <c r="I145" s="67">
        <v>2.25</v>
      </c>
      <c r="J145" s="67">
        <v>2.57</v>
      </c>
      <c r="K145" s="67">
        <v>0.68</v>
      </c>
      <c r="L145" s="67">
        <v>7.75</v>
      </c>
      <c r="M145" s="67">
        <v>6.21</v>
      </c>
      <c r="N145" s="67">
        <v>5.33</v>
      </c>
      <c r="O145" s="67">
        <v>19.3</v>
      </c>
      <c r="P145" s="65">
        <f t="shared" si="2"/>
        <v>12.820512820512821</v>
      </c>
    </row>
    <row r="146" spans="1:16" x14ac:dyDescent="0.25">
      <c r="A146" s="62" t="s">
        <v>250</v>
      </c>
      <c r="B146" s="65">
        <v>30</v>
      </c>
      <c r="C146" s="62" t="s">
        <v>106</v>
      </c>
      <c r="D146" s="63">
        <v>102800</v>
      </c>
      <c r="E146" s="64">
        <v>150</v>
      </c>
      <c r="F146" s="64">
        <v>8</v>
      </c>
      <c r="G146" s="84">
        <v>6.2E-2</v>
      </c>
      <c r="H146" s="67">
        <v>1.78</v>
      </c>
      <c r="I146" s="67">
        <v>2.14</v>
      </c>
      <c r="J146" s="67">
        <v>2.42</v>
      </c>
      <c r="K146" s="67">
        <v>0.6</v>
      </c>
      <c r="L146" s="67">
        <v>6.94</v>
      </c>
      <c r="M146" s="67">
        <v>5.84</v>
      </c>
      <c r="N146" s="67">
        <v>4.66</v>
      </c>
      <c r="O146" s="67">
        <v>17.46</v>
      </c>
      <c r="P146" s="65">
        <f t="shared" si="2"/>
        <v>16.129032258064516</v>
      </c>
    </row>
    <row r="147" spans="1:16" x14ac:dyDescent="0.25">
      <c r="A147" s="62" t="s">
        <v>251</v>
      </c>
      <c r="B147" s="65">
        <v>35</v>
      </c>
      <c r="C147" s="62" t="s">
        <v>106</v>
      </c>
      <c r="D147" s="63">
        <v>119000</v>
      </c>
      <c r="E147" s="64">
        <v>150</v>
      </c>
      <c r="F147" s="64">
        <v>8</v>
      </c>
      <c r="G147" s="84">
        <v>5.2999999999999999E-2</v>
      </c>
      <c r="H147" s="67">
        <v>1.52</v>
      </c>
      <c r="I147" s="67">
        <v>1.83</v>
      </c>
      <c r="J147" s="67">
        <v>2.4</v>
      </c>
      <c r="K147" s="67">
        <v>0.51</v>
      </c>
      <c r="L147" s="67">
        <v>6.28</v>
      </c>
      <c r="M147" s="67">
        <v>5.8</v>
      </c>
      <c r="N147" s="67">
        <v>3.99</v>
      </c>
      <c r="O147" s="67">
        <v>16.079999999999998</v>
      </c>
      <c r="P147" s="65">
        <f t="shared" si="2"/>
        <v>18.867924528301888</v>
      </c>
    </row>
    <row r="148" spans="1:16" x14ac:dyDescent="0.25">
      <c r="A148" s="69" t="s">
        <v>252</v>
      </c>
      <c r="B148" s="72">
        <v>24</v>
      </c>
      <c r="C148" s="69" t="s">
        <v>103</v>
      </c>
      <c r="D148" s="70">
        <v>13800</v>
      </c>
      <c r="E148" s="71">
        <v>200</v>
      </c>
      <c r="F148" s="71">
        <v>10</v>
      </c>
      <c r="G148" s="85">
        <v>6.4000000000000001E-2</v>
      </c>
      <c r="H148" s="74">
        <v>1.24</v>
      </c>
      <c r="I148" s="74">
        <v>1.86</v>
      </c>
      <c r="J148" s="74">
        <v>0.31</v>
      </c>
      <c r="K148" s="74">
        <v>0.56000000000000005</v>
      </c>
      <c r="L148" s="74">
        <v>3.98</v>
      </c>
      <c r="M148" s="74">
        <v>0.59</v>
      </c>
      <c r="N148" s="74">
        <v>4.3899999999999997</v>
      </c>
      <c r="O148" s="74">
        <v>8.9700000000000006</v>
      </c>
      <c r="P148" s="72">
        <f t="shared" si="2"/>
        <v>15.625</v>
      </c>
    </row>
    <row r="149" spans="1:16" x14ac:dyDescent="0.25">
      <c r="A149" s="69" t="s">
        <v>253</v>
      </c>
      <c r="B149" s="72">
        <v>30</v>
      </c>
      <c r="C149" s="69" t="s">
        <v>103</v>
      </c>
      <c r="D149" s="70">
        <v>15300</v>
      </c>
      <c r="E149" s="71">
        <v>200</v>
      </c>
      <c r="F149" s="71">
        <v>10</v>
      </c>
      <c r="G149" s="85">
        <v>5.0999999999999997E-2</v>
      </c>
      <c r="H149" s="74">
        <v>0.99</v>
      </c>
      <c r="I149" s="74">
        <v>1.48</v>
      </c>
      <c r="J149" s="74">
        <v>0.27</v>
      </c>
      <c r="K149" s="74">
        <v>0.45</v>
      </c>
      <c r="L149" s="74">
        <v>3.21</v>
      </c>
      <c r="M149" s="74">
        <v>0.52</v>
      </c>
      <c r="N149" s="74">
        <v>3.51</v>
      </c>
      <c r="O149" s="74">
        <v>7.25</v>
      </c>
      <c r="P149" s="72">
        <f t="shared" si="2"/>
        <v>19.607843137254903</v>
      </c>
    </row>
    <row r="150" spans="1:16" x14ac:dyDescent="0.25">
      <c r="A150" s="69" t="s">
        <v>254</v>
      </c>
      <c r="B150" s="72">
        <v>40</v>
      </c>
      <c r="C150" s="69" t="s">
        <v>103</v>
      </c>
      <c r="D150" s="70">
        <v>21300</v>
      </c>
      <c r="E150" s="71">
        <v>200</v>
      </c>
      <c r="F150" s="71">
        <v>10</v>
      </c>
      <c r="G150" s="85">
        <v>3.7999999999999999E-2</v>
      </c>
      <c r="H150" s="74">
        <v>0.74</v>
      </c>
      <c r="I150" s="74">
        <v>1.1100000000000001</v>
      </c>
      <c r="J150" s="74">
        <v>0.28000000000000003</v>
      </c>
      <c r="K150" s="74">
        <v>0.34</v>
      </c>
      <c r="L150" s="74">
        <v>2.4900000000000002</v>
      </c>
      <c r="M150" s="74">
        <v>0.54</v>
      </c>
      <c r="N150" s="74">
        <v>2.63</v>
      </c>
      <c r="O150" s="74">
        <v>5.67</v>
      </c>
      <c r="P150" s="72">
        <f t="shared" si="2"/>
        <v>26.315789473684212</v>
      </c>
    </row>
    <row r="151" spans="1:16" x14ac:dyDescent="0.25">
      <c r="A151" s="69" t="s">
        <v>255</v>
      </c>
      <c r="B151" s="72">
        <v>48</v>
      </c>
      <c r="C151" s="69" t="s">
        <v>106</v>
      </c>
      <c r="D151" s="70">
        <v>36000</v>
      </c>
      <c r="E151" s="71">
        <v>200</v>
      </c>
      <c r="F151" s="71">
        <v>10</v>
      </c>
      <c r="G151" s="85">
        <v>3.2000000000000001E-2</v>
      </c>
      <c r="H151" s="74">
        <v>0.62</v>
      </c>
      <c r="I151" s="74">
        <v>1.1000000000000001</v>
      </c>
      <c r="J151" s="74">
        <v>0.4</v>
      </c>
      <c r="K151" s="74">
        <v>0.31</v>
      </c>
      <c r="L151" s="74">
        <v>2.44</v>
      </c>
      <c r="M151" s="74">
        <v>0.76</v>
      </c>
      <c r="N151" s="74">
        <v>2.4</v>
      </c>
      <c r="O151" s="74">
        <v>5.61</v>
      </c>
      <c r="P151" s="72">
        <f t="shared" si="2"/>
        <v>31.25</v>
      </c>
    </row>
    <row r="152" spans="1:16" x14ac:dyDescent="0.25">
      <c r="A152" s="62" t="s">
        <v>256</v>
      </c>
      <c r="B152" s="65">
        <f>(6*30)/12</f>
        <v>15</v>
      </c>
      <c r="C152" s="62" t="s">
        <v>257</v>
      </c>
      <c r="D152" s="63">
        <v>76100</v>
      </c>
      <c r="E152" s="64">
        <v>300</v>
      </c>
      <c r="F152" s="64">
        <v>8</v>
      </c>
      <c r="G152" s="84">
        <v>0.17</v>
      </c>
      <c r="H152" s="67">
        <v>3.28</v>
      </c>
      <c r="I152" s="67">
        <v>6.82</v>
      </c>
      <c r="J152" s="67">
        <v>3.23</v>
      </c>
      <c r="K152" s="67">
        <v>8.2100000000000009</v>
      </c>
      <c r="L152" s="67">
        <v>21.56</v>
      </c>
      <c r="M152" s="67">
        <v>6.06</v>
      </c>
      <c r="N152" s="67">
        <v>39.32</v>
      </c>
      <c r="O152" s="67">
        <v>66.95</v>
      </c>
      <c r="P152" s="65">
        <f t="shared" si="2"/>
        <v>5.8823529411764701</v>
      </c>
    </row>
    <row r="153" spans="1:16" x14ac:dyDescent="0.25">
      <c r="A153" s="62" t="s">
        <v>258</v>
      </c>
      <c r="B153" s="65">
        <f>(6*38)/12</f>
        <v>19</v>
      </c>
      <c r="C153" s="62" t="s">
        <v>257</v>
      </c>
      <c r="D153" s="63">
        <v>77100</v>
      </c>
      <c r="E153" s="64">
        <v>300</v>
      </c>
      <c r="F153" s="64">
        <v>8</v>
      </c>
      <c r="G153" s="84">
        <v>0.13400000000000001</v>
      </c>
      <c r="H153" s="67">
        <v>2.59</v>
      </c>
      <c r="I153" s="67">
        <v>5.39</v>
      </c>
      <c r="J153" s="67">
        <v>2.59</v>
      </c>
      <c r="K153" s="67">
        <v>6.48</v>
      </c>
      <c r="L153" s="67">
        <v>17.05</v>
      </c>
      <c r="M153" s="67">
        <v>4.8499999999999996</v>
      </c>
      <c r="N153" s="67">
        <v>31.04</v>
      </c>
      <c r="O153" s="67">
        <v>52.95</v>
      </c>
      <c r="P153" s="65">
        <f t="shared" si="2"/>
        <v>7.4626865671641784</v>
      </c>
    </row>
    <row r="154" spans="1:16" x14ac:dyDescent="0.25">
      <c r="A154" s="62" t="s">
        <v>259</v>
      </c>
      <c r="B154" s="65">
        <f>(8*30)/12</f>
        <v>20</v>
      </c>
      <c r="C154" s="62" t="s">
        <v>257</v>
      </c>
      <c r="D154" s="63">
        <v>117000</v>
      </c>
      <c r="E154" s="64">
        <v>300</v>
      </c>
      <c r="F154" s="64">
        <v>8</v>
      </c>
      <c r="G154" s="84">
        <v>0.127</v>
      </c>
      <c r="H154" s="67">
        <v>2.46</v>
      </c>
      <c r="I154" s="67">
        <v>5.12</v>
      </c>
      <c r="J154" s="67">
        <v>3.73</v>
      </c>
      <c r="K154" s="67">
        <v>6.15</v>
      </c>
      <c r="L154" s="67">
        <v>17.47</v>
      </c>
      <c r="M154" s="67">
        <v>6.99</v>
      </c>
      <c r="N154" s="67">
        <v>29.49</v>
      </c>
      <c r="O154" s="67">
        <v>53.96</v>
      </c>
      <c r="P154" s="65">
        <f t="shared" si="2"/>
        <v>7.8740157480314963</v>
      </c>
    </row>
    <row r="155" spans="1:16" x14ac:dyDescent="0.25">
      <c r="A155" s="62" t="s">
        <v>260</v>
      </c>
      <c r="B155" s="65">
        <f>(8*38)/12</f>
        <v>25.333333333333332</v>
      </c>
      <c r="C155" s="62" t="s">
        <v>261</v>
      </c>
      <c r="D155" s="63">
        <v>90700</v>
      </c>
      <c r="E155" s="64">
        <v>300</v>
      </c>
      <c r="F155" s="64">
        <v>8</v>
      </c>
      <c r="G155" s="84">
        <v>0.1</v>
      </c>
      <c r="H155" s="67">
        <v>1.94</v>
      </c>
      <c r="I155" s="67">
        <v>4.96</v>
      </c>
      <c r="J155" s="67">
        <v>2.2799999999999998</v>
      </c>
      <c r="K155" s="67">
        <v>5.88</v>
      </c>
      <c r="L155" s="67">
        <v>15.09</v>
      </c>
      <c r="M155" s="67">
        <v>4.28</v>
      </c>
      <c r="N155" s="67">
        <v>28.19</v>
      </c>
      <c r="O155" s="67">
        <v>47.57</v>
      </c>
      <c r="P155" s="65">
        <f t="shared" si="2"/>
        <v>10</v>
      </c>
    </row>
    <row r="156" spans="1:16" x14ac:dyDescent="0.25">
      <c r="A156" s="62" t="s">
        <v>262</v>
      </c>
      <c r="B156" s="65">
        <f>(12*20)/12</f>
        <v>20</v>
      </c>
      <c r="C156" s="62" t="s">
        <v>261</v>
      </c>
      <c r="D156" s="63">
        <v>156000</v>
      </c>
      <c r="E156" s="64">
        <v>300</v>
      </c>
      <c r="F156" s="64">
        <v>8</v>
      </c>
      <c r="G156" s="84">
        <v>0.127</v>
      </c>
      <c r="H156" s="67">
        <v>2.46</v>
      </c>
      <c r="I156" s="67">
        <v>6.28</v>
      </c>
      <c r="J156" s="67">
        <v>4.9800000000000004</v>
      </c>
      <c r="K156" s="67">
        <v>7.44</v>
      </c>
      <c r="L156" s="67">
        <v>21.17</v>
      </c>
      <c r="M156" s="67">
        <v>9.32</v>
      </c>
      <c r="N156" s="67">
        <v>35.67</v>
      </c>
      <c r="O156" s="67">
        <v>66.16</v>
      </c>
      <c r="P156" s="65">
        <f t="shared" si="2"/>
        <v>7.8740157480314963</v>
      </c>
    </row>
    <row r="157" spans="1:16" x14ac:dyDescent="0.25">
      <c r="A157" s="62" t="s">
        <v>263</v>
      </c>
      <c r="B157" s="65">
        <f>(12*30)/12</f>
        <v>30</v>
      </c>
      <c r="C157" s="62" t="s">
        <v>261</v>
      </c>
      <c r="D157" s="63">
        <v>167000</v>
      </c>
      <c r="E157" s="64">
        <v>300</v>
      </c>
      <c r="F157" s="64">
        <v>8</v>
      </c>
      <c r="G157" s="84">
        <v>8.5000000000000006E-2</v>
      </c>
      <c r="H157" s="67">
        <v>1.64</v>
      </c>
      <c r="I157" s="67">
        <v>4.18</v>
      </c>
      <c r="J157" s="67">
        <v>3.55</v>
      </c>
      <c r="K157" s="67">
        <v>4.96</v>
      </c>
      <c r="L157" s="67">
        <v>14.35</v>
      </c>
      <c r="M157" s="67">
        <v>6.65</v>
      </c>
      <c r="N157" s="67">
        <v>23.78</v>
      </c>
      <c r="O157" s="67">
        <v>44.78</v>
      </c>
      <c r="P157" s="65">
        <f t="shared" si="2"/>
        <v>11.76470588235294</v>
      </c>
    </row>
    <row r="158" spans="1:16" x14ac:dyDescent="0.25">
      <c r="A158" s="62" t="s">
        <v>264</v>
      </c>
      <c r="B158" s="65">
        <v>25</v>
      </c>
      <c r="C158" s="62" t="s">
        <v>257</v>
      </c>
      <c r="D158" s="63">
        <v>83200</v>
      </c>
      <c r="E158" s="64">
        <v>300</v>
      </c>
      <c r="F158" s="64">
        <v>8</v>
      </c>
      <c r="G158" s="84">
        <v>0.20300000000000001</v>
      </c>
      <c r="H158" s="67">
        <v>3.91</v>
      </c>
      <c r="I158" s="67">
        <v>8.14</v>
      </c>
      <c r="J158" s="67">
        <v>3.87</v>
      </c>
      <c r="K158" s="67">
        <v>9.7899999999999991</v>
      </c>
      <c r="L158" s="67">
        <v>25.72</v>
      </c>
      <c r="M158" s="67">
        <v>7.64</v>
      </c>
      <c r="N158" s="67">
        <v>46.89</v>
      </c>
      <c r="O158" s="67">
        <v>80.27</v>
      </c>
      <c r="P158" s="65">
        <f t="shared" si="2"/>
        <v>4.9261083743842358</v>
      </c>
    </row>
    <row r="159" spans="1:16" x14ac:dyDescent="0.25">
      <c r="A159" s="62" t="s">
        <v>265</v>
      </c>
      <c r="B159" s="65">
        <v>30</v>
      </c>
      <c r="C159" s="62" t="s">
        <v>261</v>
      </c>
      <c r="D159" s="63">
        <v>85600</v>
      </c>
      <c r="E159" s="64">
        <v>300</v>
      </c>
      <c r="F159" s="64">
        <v>8</v>
      </c>
      <c r="G159" s="84">
        <v>0.16900000000000001</v>
      </c>
      <c r="H159" s="67">
        <v>3.26</v>
      </c>
      <c r="I159" s="67">
        <v>8.32</v>
      </c>
      <c r="J159" s="67">
        <v>3.31</v>
      </c>
      <c r="K159" s="67">
        <v>9.8699999999999992</v>
      </c>
      <c r="L159" s="67">
        <v>24.77</v>
      </c>
      <c r="M159" s="67">
        <v>6.55</v>
      </c>
      <c r="N159" s="67">
        <v>47.26</v>
      </c>
      <c r="O159" s="67">
        <v>78.599999999999994</v>
      </c>
      <c r="P159" s="65">
        <f t="shared" si="2"/>
        <v>5.9171597633136095</v>
      </c>
    </row>
    <row r="160" spans="1:16" x14ac:dyDescent="0.25">
      <c r="A160" s="62" t="s">
        <v>266</v>
      </c>
      <c r="B160" s="65">
        <v>36</v>
      </c>
      <c r="C160" s="62" t="s">
        <v>267</v>
      </c>
      <c r="D160" s="63">
        <v>100000</v>
      </c>
      <c r="E160" s="64">
        <v>300</v>
      </c>
      <c r="F160" s="64">
        <v>8</v>
      </c>
      <c r="G160" s="84">
        <v>0.14099999999999999</v>
      </c>
      <c r="H160" s="67">
        <v>2.71</v>
      </c>
      <c r="I160" s="67">
        <v>7.57</v>
      </c>
      <c r="J160" s="67">
        <v>3.23</v>
      </c>
      <c r="K160" s="67">
        <v>8.3000000000000007</v>
      </c>
      <c r="L160" s="67">
        <v>21.82</v>
      </c>
      <c r="M160" s="67">
        <v>6.38</v>
      </c>
      <c r="N160" s="67">
        <v>39.74</v>
      </c>
      <c r="O160" s="67">
        <v>67.95</v>
      </c>
      <c r="P160" s="65">
        <f t="shared" si="2"/>
        <v>7.0921985815602842</v>
      </c>
    </row>
    <row r="161" spans="1:16" x14ac:dyDescent="0.25">
      <c r="A161" s="62" t="s">
        <v>268</v>
      </c>
      <c r="B161" s="65">
        <v>40</v>
      </c>
      <c r="C161" s="62" t="s">
        <v>269</v>
      </c>
      <c r="D161" s="63">
        <v>108000</v>
      </c>
      <c r="E161" s="64">
        <v>300</v>
      </c>
      <c r="F161" s="64">
        <v>8</v>
      </c>
      <c r="G161" s="84">
        <v>0.126</v>
      </c>
      <c r="H161" s="67">
        <v>2.44</v>
      </c>
      <c r="I161" s="67">
        <v>8.16</v>
      </c>
      <c r="J161" s="67">
        <v>3.14</v>
      </c>
      <c r="K161" s="67">
        <v>7.5</v>
      </c>
      <c r="L161" s="67">
        <v>21.26</v>
      </c>
      <c r="M161" s="67">
        <v>6.2</v>
      </c>
      <c r="N161" s="67">
        <v>35.950000000000003</v>
      </c>
      <c r="O161" s="67">
        <v>63.42</v>
      </c>
      <c r="P161" s="65">
        <f t="shared" si="2"/>
        <v>7.9365079365079367</v>
      </c>
    </row>
    <row r="162" spans="1:16" x14ac:dyDescent="0.25">
      <c r="A162" s="62" t="s">
        <v>270</v>
      </c>
      <c r="B162" s="65">
        <v>25</v>
      </c>
      <c r="C162" s="62" t="s">
        <v>261</v>
      </c>
      <c r="D162" s="63">
        <v>83200</v>
      </c>
      <c r="E162" s="64">
        <v>300</v>
      </c>
      <c r="F162" s="64">
        <v>8</v>
      </c>
      <c r="G162" s="84">
        <v>0.17599999999999999</v>
      </c>
      <c r="H162" s="67">
        <v>3.39</v>
      </c>
      <c r="I162" s="67">
        <v>8.65</v>
      </c>
      <c r="J162" s="67">
        <v>3.35</v>
      </c>
      <c r="K162" s="67">
        <v>10.26</v>
      </c>
      <c r="L162" s="67">
        <v>25.67</v>
      </c>
      <c r="M162" s="67">
        <v>6.62</v>
      </c>
      <c r="N162" s="67">
        <v>49.15</v>
      </c>
      <c r="O162" s="67">
        <v>81.45</v>
      </c>
      <c r="P162" s="65">
        <f t="shared" si="2"/>
        <v>5.6818181818181825</v>
      </c>
    </row>
    <row r="163" spans="1:16" x14ac:dyDescent="0.25">
      <c r="A163" s="62" t="s">
        <v>271</v>
      </c>
      <c r="B163" s="65">
        <v>30</v>
      </c>
      <c r="C163" s="62" t="s">
        <v>261</v>
      </c>
      <c r="D163" s="63">
        <v>85600</v>
      </c>
      <c r="E163" s="64">
        <v>300</v>
      </c>
      <c r="F163" s="64">
        <v>8</v>
      </c>
      <c r="G163" s="84">
        <v>0.14599999999999999</v>
      </c>
      <c r="H163" s="67">
        <v>2.82</v>
      </c>
      <c r="I163" s="67">
        <v>7.21</v>
      </c>
      <c r="J163" s="67">
        <v>2.87</v>
      </c>
      <c r="K163" s="67">
        <v>8.5500000000000007</v>
      </c>
      <c r="L163" s="67">
        <v>21.47</v>
      </c>
      <c r="M163" s="67">
        <v>5.68</v>
      </c>
      <c r="N163" s="67">
        <v>40.96</v>
      </c>
      <c r="O163" s="67">
        <v>68.12</v>
      </c>
      <c r="P163" s="65">
        <f t="shared" si="2"/>
        <v>6.8493150684931514</v>
      </c>
    </row>
    <row r="164" spans="1:16" x14ac:dyDescent="0.25">
      <c r="A164" s="62" t="s">
        <v>272</v>
      </c>
      <c r="B164" s="65">
        <v>36</v>
      </c>
      <c r="C164" s="62" t="s">
        <v>273</v>
      </c>
      <c r="D164" s="63">
        <v>100000</v>
      </c>
      <c r="E164" s="64">
        <v>300</v>
      </c>
      <c r="F164" s="64">
        <v>8</v>
      </c>
      <c r="G164" s="84">
        <v>0.122</v>
      </c>
      <c r="H164" s="67">
        <v>2.35</v>
      </c>
      <c r="I164" s="67">
        <v>6.56</v>
      </c>
      <c r="J164" s="67">
        <v>2.8</v>
      </c>
      <c r="K164" s="67">
        <v>7.19</v>
      </c>
      <c r="L164" s="67">
        <v>18.91</v>
      </c>
      <c r="M164" s="67">
        <v>5.53</v>
      </c>
      <c r="N164" s="67">
        <v>34.44</v>
      </c>
      <c r="O164" s="67">
        <v>58.88</v>
      </c>
      <c r="P164" s="65">
        <f t="shared" si="2"/>
        <v>8.1967213114754092</v>
      </c>
    </row>
    <row r="165" spans="1:16" x14ac:dyDescent="0.25">
      <c r="A165" s="62" t="s">
        <v>274</v>
      </c>
      <c r="B165" s="65">
        <v>40</v>
      </c>
      <c r="C165" s="62" t="s">
        <v>269</v>
      </c>
      <c r="D165" s="63">
        <v>108000</v>
      </c>
      <c r="E165" s="64">
        <v>300</v>
      </c>
      <c r="F165" s="64">
        <v>8</v>
      </c>
      <c r="G165" s="84">
        <v>0.11</v>
      </c>
      <c r="H165" s="67">
        <v>2.12</v>
      </c>
      <c r="I165" s="67">
        <v>7.07</v>
      </c>
      <c r="J165" s="67">
        <v>2.72</v>
      </c>
      <c r="K165" s="67">
        <v>6.5</v>
      </c>
      <c r="L165" s="67">
        <v>18.420000000000002</v>
      </c>
      <c r="M165" s="67">
        <v>5.37</v>
      </c>
      <c r="N165" s="67">
        <v>31.16</v>
      </c>
      <c r="O165" s="67">
        <v>54.96</v>
      </c>
      <c r="P165" s="65">
        <f t="shared" si="2"/>
        <v>9.0909090909090917</v>
      </c>
    </row>
    <row r="166" spans="1:16" x14ac:dyDescent="0.25">
      <c r="A166" s="62" t="s">
        <v>275</v>
      </c>
      <c r="B166" s="65">
        <v>20</v>
      </c>
      <c r="C166" s="62" t="s">
        <v>257</v>
      </c>
      <c r="D166" s="63">
        <v>50600</v>
      </c>
      <c r="E166" s="64">
        <v>300</v>
      </c>
      <c r="F166" s="64">
        <v>8</v>
      </c>
      <c r="G166" s="84">
        <v>0.253</v>
      </c>
      <c r="H166" s="67">
        <v>4.8899999999999997</v>
      </c>
      <c r="I166" s="67">
        <v>10.17</v>
      </c>
      <c r="J166" s="67">
        <v>3.21</v>
      </c>
      <c r="K166" s="67">
        <v>12.24</v>
      </c>
      <c r="L166" s="67">
        <v>30.52</v>
      </c>
      <c r="M166" s="67">
        <v>6.01</v>
      </c>
      <c r="N166" s="67">
        <v>58.62</v>
      </c>
      <c r="O166" s="67">
        <v>95.16</v>
      </c>
      <c r="P166" s="65">
        <f t="shared" si="2"/>
        <v>3.9525691699604741</v>
      </c>
    </row>
    <row r="167" spans="1:16" x14ac:dyDescent="0.25">
      <c r="A167" s="62" t="s">
        <v>276</v>
      </c>
      <c r="B167" s="65">
        <v>24</v>
      </c>
      <c r="C167" s="62" t="s">
        <v>261</v>
      </c>
      <c r="D167" s="63">
        <v>54000</v>
      </c>
      <c r="E167" s="64">
        <v>300</v>
      </c>
      <c r="F167" s="64">
        <v>8</v>
      </c>
      <c r="G167" s="84">
        <v>0.21099999999999999</v>
      </c>
      <c r="H167" s="67">
        <v>4.07</v>
      </c>
      <c r="I167" s="67">
        <v>10.4</v>
      </c>
      <c r="J167" s="67">
        <v>2.85</v>
      </c>
      <c r="K167" s="67">
        <v>12.33</v>
      </c>
      <c r="L167" s="67">
        <v>29.67</v>
      </c>
      <c r="M167" s="67">
        <v>5.34</v>
      </c>
      <c r="N167" s="67">
        <v>59.08</v>
      </c>
      <c r="O167" s="67">
        <v>94.11</v>
      </c>
      <c r="P167" s="65">
        <f t="shared" si="2"/>
        <v>4.7393364928909953</v>
      </c>
    </row>
    <row r="168" spans="1:16" x14ac:dyDescent="0.25">
      <c r="A168" s="62" t="s">
        <v>277</v>
      </c>
      <c r="B168" s="65">
        <v>32</v>
      </c>
      <c r="C168" s="62" t="s">
        <v>261</v>
      </c>
      <c r="D168" s="63">
        <v>70800</v>
      </c>
      <c r="E168" s="64">
        <v>300</v>
      </c>
      <c r="F168" s="64">
        <v>8</v>
      </c>
      <c r="G168" s="84">
        <v>0.158</v>
      </c>
      <c r="H168" s="67">
        <v>3.05</v>
      </c>
      <c r="I168" s="67">
        <v>7.8</v>
      </c>
      <c r="J168" s="67">
        <v>2.8</v>
      </c>
      <c r="K168" s="67">
        <v>9.25</v>
      </c>
      <c r="L168" s="67">
        <v>22.92</v>
      </c>
      <c r="M168" s="67">
        <v>5.25</v>
      </c>
      <c r="N168" s="67">
        <v>44.31</v>
      </c>
      <c r="O168" s="67">
        <v>72.489999999999995</v>
      </c>
      <c r="P168" s="65">
        <f t="shared" si="2"/>
        <v>6.3291139240506329</v>
      </c>
    </row>
    <row r="169" spans="1:16" x14ac:dyDescent="0.25">
      <c r="A169" s="62" t="s">
        <v>278</v>
      </c>
      <c r="B169" s="65">
        <v>20</v>
      </c>
      <c r="C169" s="62" t="s">
        <v>257</v>
      </c>
      <c r="D169" s="63">
        <v>50600</v>
      </c>
      <c r="E169" s="64">
        <v>300</v>
      </c>
      <c r="F169" s="64">
        <v>8</v>
      </c>
      <c r="G169" s="84">
        <v>0.22</v>
      </c>
      <c r="H169" s="67">
        <v>4.24</v>
      </c>
      <c r="I169" s="67">
        <v>8.82</v>
      </c>
      <c r="J169" s="67">
        <v>2.78</v>
      </c>
      <c r="K169" s="67">
        <v>10.61</v>
      </c>
      <c r="L169" s="67">
        <v>26.45</v>
      </c>
      <c r="M169" s="67">
        <v>5.2</v>
      </c>
      <c r="N169" s="67">
        <v>50.8</v>
      </c>
      <c r="O169" s="67">
        <v>82.47</v>
      </c>
      <c r="P169" s="65">
        <f t="shared" si="2"/>
        <v>4.5454545454545459</v>
      </c>
    </row>
    <row r="170" spans="1:16" x14ac:dyDescent="0.25">
      <c r="A170" s="62" t="s">
        <v>279</v>
      </c>
      <c r="B170" s="65">
        <v>24</v>
      </c>
      <c r="C170" s="62" t="s">
        <v>261</v>
      </c>
      <c r="D170" s="63">
        <v>54000</v>
      </c>
      <c r="E170" s="64">
        <v>300</v>
      </c>
      <c r="F170" s="64">
        <v>8</v>
      </c>
      <c r="G170" s="84">
        <v>0.183</v>
      </c>
      <c r="H170" s="67">
        <v>3.53</v>
      </c>
      <c r="I170" s="67">
        <v>9.01</v>
      </c>
      <c r="J170" s="67">
        <v>2.4700000000000002</v>
      </c>
      <c r="K170" s="67">
        <v>10.69</v>
      </c>
      <c r="L170" s="67">
        <v>25.72</v>
      </c>
      <c r="M170" s="67">
        <v>4.63</v>
      </c>
      <c r="N170" s="67">
        <v>51.2</v>
      </c>
      <c r="O170" s="67">
        <v>81.56</v>
      </c>
      <c r="P170" s="65">
        <f t="shared" si="2"/>
        <v>5.4644808743169397</v>
      </c>
    </row>
    <row r="171" spans="1:16" x14ac:dyDescent="0.25">
      <c r="A171" s="62" t="s">
        <v>280</v>
      </c>
      <c r="B171" s="65">
        <v>32</v>
      </c>
      <c r="C171" s="62" t="s">
        <v>261</v>
      </c>
      <c r="D171" s="63">
        <v>70800</v>
      </c>
      <c r="E171" s="64">
        <v>300</v>
      </c>
      <c r="F171" s="64">
        <v>8</v>
      </c>
      <c r="G171" s="84">
        <v>0.13700000000000001</v>
      </c>
      <c r="H171" s="67">
        <v>2.65</v>
      </c>
      <c r="I171" s="67">
        <v>6.76</v>
      </c>
      <c r="J171" s="67">
        <v>2.4300000000000002</v>
      </c>
      <c r="K171" s="67">
        <v>8.02</v>
      </c>
      <c r="L171" s="67">
        <v>19.86</v>
      </c>
      <c r="M171" s="67">
        <v>4.55</v>
      </c>
      <c r="N171" s="67">
        <v>38.4</v>
      </c>
      <c r="O171" s="67">
        <v>62.83</v>
      </c>
      <c r="P171" s="65">
        <f t="shared" si="2"/>
        <v>7.2992700729926998</v>
      </c>
    </row>
    <row r="172" spans="1:16" x14ac:dyDescent="0.25">
      <c r="A172" s="62" t="s">
        <v>281</v>
      </c>
      <c r="B172" s="65">
        <v>22</v>
      </c>
      <c r="C172" s="62" t="s">
        <v>257</v>
      </c>
      <c r="D172" s="63">
        <v>46800</v>
      </c>
      <c r="E172" s="64">
        <v>300</v>
      </c>
      <c r="F172" s="64">
        <v>8</v>
      </c>
      <c r="G172" s="84">
        <v>0.11600000000000001</v>
      </c>
      <c r="H172" s="67">
        <v>2.23</v>
      </c>
      <c r="I172" s="67">
        <v>4.6500000000000004</v>
      </c>
      <c r="J172" s="67">
        <v>1.35</v>
      </c>
      <c r="K172" s="67">
        <v>5.59</v>
      </c>
      <c r="L172" s="67">
        <v>13.85</v>
      </c>
      <c r="M172" s="67">
        <v>2.54</v>
      </c>
      <c r="N172" s="67">
        <v>26.81</v>
      </c>
      <c r="O172" s="67">
        <v>43.2</v>
      </c>
      <c r="P172" s="65">
        <f t="shared" si="2"/>
        <v>8.6206896551724128</v>
      </c>
    </row>
    <row r="173" spans="1:16" x14ac:dyDescent="0.25">
      <c r="A173" s="62" t="s">
        <v>282</v>
      </c>
      <c r="B173" s="65">
        <v>25</v>
      </c>
      <c r="C173" s="62" t="s">
        <v>261</v>
      </c>
      <c r="D173" s="63">
        <v>45700</v>
      </c>
      <c r="E173" s="64">
        <v>300</v>
      </c>
      <c r="F173" s="64">
        <v>8</v>
      </c>
      <c r="G173" s="84">
        <v>0.10199999999999999</v>
      </c>
      <c r="H173" s="67">
        <v>1.96</v>
      </c>
      <c r="I173" s="67">
        <v>5.0199999999999996</v>
      </c>
      <c r="J173" s="67">
        <v>1.1599999999999999</v>
      </c>
      <c r="K173" s="67">
        <v>5.95</v>
      </c>
      <c r="L173" s="67">
        <v>14.12</v>
      </c>
      <c r="M173" s="67">
        <v>2.1800000000000002</v>
      </c>
      <c r="N173" s="67">
        <v>28.53</v>
      </c>
      <c r="O173" s="67">
        <v>44.84</v>
      </c>
      <c r="P173" s="65">
        <f t="shared" si="2"/>
        <v>9.8039215686274517</v>
      </c>
    </row>
    <row r="174" spans="1:16" x14ac:dyDescent="0.25">
      <c r="A174" s="62" t="s">
        <v>283</v>
      </c>
      <c r="B174" s="65">
        <v>30</v>
      </c>
      <c r="C174" s="62" t="s">
        <v>261</v>
      </c>
      <c r="D174" s="63">
        <v>55100</v>
      </c>
      <c r="E174" s="64">
        <v>300</v>
      </c>
      <c r="F174" s="64">
        <v>8</v>
      </c>
      <c r="G174" s="84">
        <v>8.5000000000000006E-2</v>
      </c>
      <c r="H174" s="67">
        <v>1.64</v>
      </c>
      <c r="I174" s="67">
        <v>4.18</v>
      </c>
      <c r="J174" s="67">
        <v>1.17</v>
      </c>
      <c r="K174" s="67">
        <v>4.96</v>
      </c>
      <c r="L174" s="67">
        <v>11.96</v>
      </c>
      <c r="M174" s="67">
        <v>2.19</v>
      </c>
      <c r="N174" s="67">
        <v>23.78</v>
      </c>
      <c r="O174" s="67">
        <v>37.94</v>
      </c>
      <c r="P174" s="65">
        <f t="shared" si="2"/>
        <v>11.76470588235294</v>
      </c>
    </row>
    <row r="175" spans="1:16" x14ac:dyDescent="0.25">
      <c r="A175" s="62" t="s">
        <v>284</v>
      </c>
      <c r="B175" s="65">
        <v>35</v>
      </c>
      <c r="C175" s="62" t="s">
        <v>267</v>
      </c>
      <c r="D175" s="63">
        <v>62900</v>
      </c>
      <c r="E175" s="64">
        <v>300</v>
      </c>
      <c r="F175" s="64">
        <v>8</v>
      </c>
      <c r="G175" s="84">
        <v>7.1999999999999995E-2</v>
      </c>
      <c r="H175" s="67">
        <v>1.4</v>
      </c>
      <c r="I175" s="67">
        <v>3.92</v>
      </c>
      <c r="J175" s="67">
        <v>1.1399999999999999</v>
      </c>
      <c r="K175" s="67">
        <v>4.29</v>
      </c>
      <c r="L175" s="67">
        <v>10.76</v>
      </c>
      <c r="M175" s="67">
        <v>2.14</v>
      </c>
      <c r="N175" s="67">
        <v>20.56</v>
      </c>
      <c r="O175" s="67">
        <v>33.479999999999997</v>
      </c>
      <c r="P175" s="65">
        <f t="shared" si="2"/>
        <v>13.888888888888889</v>
      </c>
    </row>
    <row r="176" spans="1:16" x14ac:dyDescent="0.25">
      <c r="A176" s="62" t="s">
        <v>285</v>
      </c>
      <c r="B176" s="65">
        <v>22</v>
      </c>
      <c r="C176" s="62" t="s">
        <v>257</v>
      </c>
      <c r="D176" s="63">
        <v>19800</v>
      </c>
      <c r="E176" s="64">
        <v>300</v>
      </c>
      <c r="F176" s="64">
        <v>8</v>
      </c>
      <c r="G176" s="84">
        <v>0.11600000000000001</v>
      </c>
      <c r="H176" s="67">
        <v>2.23</v>
      </c>
      <c r="I176" s="67">
        <v>4.6500000000000004</v>
      </c>
      <c r="J176" s="67">
        <v>0.56999999999999995</v>
      </c>
      <c r="K176" s="67">
        <v>5.59</v>
      </c>
      <c r="L176" s="67">
        <v>13.06</v>
      </c>
      <c r="M176" s="67">
        <v>1.07</v>
      </c>
      <c r="N176" s="67">
        <v>26.81</v>
      </c>
      <c r="O176" s="67">
        <v>40.950000000000003</v>
      </c>
      <c r="P176" s="65">
        <f t="shared" si="2"/>
        <v>8.6206896551724128</v>
      </c>
    </row>
    <row r="177" spans="1:16" x14ac:dyDescent="0.25">
      <c r="A177" s="62" t="s">
        <v>286</v>
      </c>
      <c r="B177" s="65">
        <v>25</v>
      </c>
      <c r="C177" s="62" t="s">
        <v>261</v>
      </c>
      <c r="D177" s="63">
        <v>49200</v>
      </c>
      <c r="E177" s="64">
        <v>300</v>
      </c>
      <c r="F177" s="64">
        <v>8</v>
      </c>
      <c r="G177" s="84">
        <v>0.10199999999999999</v>
      </c>
      <c r="H177" s="67">
        <v>1.96</v>
      </c>
      <c r="I177" s="67">
        <v>5.0199999999999996</v>
      </c>
      <c r="J177" s="67">
        <v>1.25</v>
      </c>
      <c r="K177" s="67">
        <v>5.95</v>
      </c>
      <c r="L177" s="67">
        <v>14.21</v>
      </c>
      <c r="M177" s="67">
        <v>2.35</v>
      </c>
      <c r="N177" s="67">
        <v>28.53</v>
      </c>
      <c r="O177" s="67">
        <v>45.1</v>
      </c>
      <c r="P177" s="65">
        <f t="shared" si="2"/>
        <v>9.8039215686274517</v>
      </c>
    </row>
    <row r="178" spans="1:16" x14ac:dyDescent="0.25">
      <c r="A178" s="62" t="s">
        <v>287</v>
      </c>
      <c r="B178" s="65">
        <v>30</v>
      </c>
      <c r="C178" s="62" t="s">
        <v>261</v>
      </c>
      <c r="D178" s="63">
        <v>63200</v>
      </c>
      <c r="E178" s="64">
        <v>300</v>
      </c>
      <c r="F178" s="64">
        <v>8</v>
      </c>
      <c r="G178" s="84">
        <v>8.5000000000000006E-2</v>
      </c>
      <c r="H178" s="67">
        <v>1.64</v>
      </c>
      <c r="I178" s="67">
        <v>4.18</v>
      </c>
      <c r="J178" s="67">
        <v>1.34</v>
      </c>
      <c r="K178" s="67">
        <v>4.96</v>
      </c>
      <c r="L178" s="67">
        <v>12.14</v>
      </c>
      <c r="M178" s="67">
        <v>2.5099999999999998</v>
      </c>
      <c r="N178" s="67">
        <v>23.78</v>
      </c>
      <c r="O178" s="67">
        <v>38.43</v>
      </c>
      <c r="P178" s="65">
        <f t="shared" si="2"/>
        <v>11.76470588235294</v>
      </c>
    </row>
    <row r="179" spans="1:16" x14ac:dyDescent="0.25">
      <c r="A179" s="69" t="s">
        <v>288</v>
      </c>
      <c r="B179" s="72">
        <v>50</v>
      </c>
      <c r="C179" s="69" t="s">
        <v>103</v>
      </c>
      <c r="D179" s="70">
        <v>13500</v>
      </c>
      <c r="E179" s="71">
        <v>200</v>
      </c>
      <c r="F179" s="71">
        <v>10</v>
      </c>
      <c r="G179" s="85">
        <v>0.151</v>
      </c>
      <c r="H179" s="74">
        <v>2.92</v>
      </c>
      <c r="I179" s="74">
        <v>4.3600000000000003</v>
      </c>
      <c r="J179" s="74">
        <v>0.4</v>
      </c>
      <c r="K179" s="74">
        <v>1.33</v>
      </c>
      <c r="L179" s="74">
        <v>9.02</v>
      </c>
      <c r="M179" s="74">
        <v>1.35</v>
      </c>
      <c r="N179" s="74">
        <v>10.29</v>
      </c>
      <c r="O179" s="74">
        <v>20.67</v>
      </c>
      <c r="P179" s="72">
        <f t="shared" si="2"/>
        <v>6.6225165562913908</v>
      </c>
    </row>
    <row r="180" spans="1:16" x14ac:dyDescent="0.25">
      <c r="A180" s="62" t="s">
        <v>289</v>
      </c>
      <c r="B180" s="65">
        <f>(8*38)/12</f>
        <v>25.333333333333332</v>
      </c>
      <c r="C180" s="62" t="s">
        <v>101</v>
      </c>
      <c r="D180" s="63">
        <v>17600</v>
      </c>
      <c r="E180" s="64">
        <v>100</v>
      </c>
      <c r="F180" s="64">
        <v>10</v>
      </c>
      <c r="G180" s="84">
        <v>3.0000000000000001E-3</v>
      </c>
      <c r="H180" s="67">
        <v>0.06</v>
      </c>
      <c r="I180" s="67">
        <v>0.09</v>
      </c>
      <c r="J180" s="67">
        <v>0.01</v>
      </c>
      <c r="K180" s="67">
        <v>0.02</v>
      </c>
      <c r="L180" s="67">
        <v>0.19</v>
      </c>
      <c r="M180" s="67">
        <v>0.08</v>
      </c>
      <c r="N180" s="67">
        <v>0.18</v>
      </c>
      <c r="O180" s="67">
        <v>0.46</v>
      </c>
      <c r="P180" s="65">
        <f t="shared" si="2"/>
        <v>333.33333333333331</v>
      </c>
    </row>
    <row r="181" spans="1:16" x14ac:dyDescent="0.25">
      <c r="A181" s="62" t="s">
        <v>290</v>
      </c>
      <c r="B181" s="65">
        <f>(8*38)/12</f>
        <v>25.333333333333332</v>
      </c>
      <c r="C181" s="62" t="s">
        <v>101</v>
      </c>
      <c r="D181" s="63">
        <v>12500</v>
      </c>
      <c r="E181" s="64">
        <v>100</v>
      </c>
      <c r="F181" s="64">
        <v>10</v>
      </c>
      <c r="G181" s="84">
        <v>3.0000000000000001E-3</v>
      </c>
      <c r="H181" s="67">
        <v>0.06</v>
      </c>
      <c r="I181" s="67">
        <v>0.09</v>
      </c>
      <c r="J181" s="67">
        <v>0</v>
      </c>
      <c r="K181" s="67">
        <v>0.02</v>
      </c>
      <c r="L181" s="67">
        <v>0.19</v>
      </c>
      <c r="M181" s="67">
        <v>0.05</v>
      </c>
      <c r="N181" s="67">
        <v>0.18</v>
      </c>
      <c r="O181" s="67">
        <v>0.44</v>
      </c>
      <c r="P181" s="65">
        <f t="shared" si="2"/>
        <v>333.33333333333331</v>
      </c>
    </row>
    <row r="182" spans="1:16" x14ac:dyDescent="0.25">
      <c r="A182" s="62" t="s">
        <v>291</v>
      </c>
      <c r="B182" s="65">
        <f>32/12</f>
        <v>2.6666666666666665</v>
      </c>
      <c r="C182" s="62" t="s">
        <v>99</v>
      </c>
      <c r="D182" s="63">
        <v>9220</v>
      </c>
      <c r="E182" s="64">
        <v>100</v>
      </c>
      <c r="F182" s="64">
        <v>10</v>
      </c>
      <c r="G182" s="84">
        <v>4.0000000000000001E-3</v>
      </c>
      <c r="H182" s="67">
        <v>0.08</v>
      </c>
      <c r="I182" s="67">
        <v>0.09</v>
      </c>
      <c r="J182" s="67">
        <v>0</v>
      </c>
      <c r="K182" s="67">
        <v>0.02</v>
      </c>
      <c r="L182" s="67">
        <v>0.2</v>
      </c>
      <c r="M182" s="67">
        <v>0.05</v>
      </c>
      <c r="N182" s="67">
        <v>0.18</v>
      </c>
      <c r="O182" s="67">
        <v>0.44</v>
      </c>
      <c r="P182" s="65">
        <f t="shared" si="2"/>
        <v>250</v>
      </c>
    </row>
    <row r="183" spans="1:16" x14ac:dyDescent="0.25">
      <c r="A183" s="69" t="s">
        <v>292</v>
      </c>
      <c r="B183" s="72">
        <f>(4*38)/12</f>
        <v>12.666666666666666</v>
      </c>
      <c r="C183" s="69" t="s">
        <v>103</v>
      </c>
      <c r="D183" s="70">
        <v>34700</v>
      </c>
      <c r="E183" s="71">
        <v>200</v>
      </c>
      <c r="F183" s="71">
        <v>10</v>
      </c>
      <c r="G183" s="85">
        <v>0.25700000000000001</v>
      </c>
      <c r="H183" s="74">
        <v>7.3</v>
      </c>
      <c r="I183" s="74">
        <v>7.41</v>
      </c>
      <c r="J183" s="74">
        <v>2.23</v>
      </c>
      <c r="K183" s="74">
        <v>2.2599999999999998</v>
      </c>
      <c r="L183" s="74">
        <v>19.21</v>
      </c>
      <c r="M183" s="74">
        <v>5.76</v>
      </c>
      <c r="N183" s="74">
        <v>17.5</v>
      </c>
      <c r="O183" s="74">
        <v>42.48</v>
      </c>
      <c r="P183" s="72">
        <f t="shared" si="2"/>
        <v>3.8910505836575875</v>
      </c>
    </row>
    <row r="184" spans="1:16" x14ac:dyDescent="0.25">
      <c r="A184" s="69" t="s">
        <v>293</v>
      </c>
      <c r="B184" s="72">
        <f>(4*38)/12</f>
        <v>12.666666666666666</v>
      </c>
      <c r="C184" s="69" t="s">
        <v>103</v>
      </c>
      <c r="D184" s="70">
        <v>34700</v>
      </c>
      <c r="E184" s="71">
        <v>200</v>
      </c>
      <c r="F184" s="71">
        <v>10</v>
      </c>
      <c r="G184" s="85">
        <v>0.25700000000000001</v>
      </c>
      <c r="H184" s="74">
        <v>7.3</v>
      </c>
      <c r="I184" s="74">
        <v>7.41</v>
      </c>
      <c r="J184" s="74">
        <v>2.23</v>
      </c>
      <c r="K184" s="74">
        <v>2.2599999999999998</v>
      </c>
      <c r="L184" s="74">
        <v>19.21</v>
      </c>
      <c r="M184" s="74">
        <v>5.76</v>
      </c>
      <c r="N184" s="74">
        <v>17.5</v>
      </c>
      <c r="O184" s="74">
        <v>42.48</v>
      </c>
      <c r="P184" s="72">
        <f t="shared" si="2"/>
        <v>3.8910505836575875</v>
      </c>
    </row>
    <row r="185" spans="1:16" x14ac:dyDescent="0.25">
      <c r="A185" s="69" t="s">
        <v>294</v>
      </c>
      <c r="B185" s="72">
        <f>(4*38)/12</f>
        <v>12.666666666666666</v>
      </c>
      <c r="C185" s="69" t="s">
        <v>103</v>
      </c>
      <c r="D185" s="70">
        <v>34700</v>
      </c>
      <c r="E185" s="71">
        <v>200</v>
      </c>
      <c r="F185" s="71">
        <v>10</v>
      </c>
      <c r="G185" s="85">
        <v>0.17199999999999999</v>
      </c>
      <c r="H185" s="74">
        <v>4.88</v>
      </c>
      <c r="I185" s="74">
        <v>4.95</v>
      </c>
      <c r="J185" s="74">
        <v>1.49</v>
      </c>
      <c r="K185" s="74">
        <v>1.51</v>
      </c>
      <c r="L185" s="74">
        <v>12.84</v>
      </c>
      <c r="M185" s="74">
        <v>3.85</v>
      </c>
      <c r="N185" s="74">
        <v>11.7</v>
      </c>
      <c r="O185" s="74">
        <v>28.39</v>
      </c>
      <c r="P185" s="72">
        <f t="shared" si="2"/>
        <v>5.8139534883720936</v>
      </c>
    </row>
    <row r="186" spans="1:16" x14ac:dyDescent="0.25">
      <c r="A186" s="69" t="s">
        <v>295</v>
      </c>
      <c r="B186" s="72">
        <f>(6*30)/12</f>
        <v>15</v>
      </c>
      <c r="C186" s="69" t="s">
        <v>103</v>
      </c>
      <c r="D186" s="70">
        <v>34700</v>
      </c>
      <c r="E186" s="71">
        <v>200</v>
      </c>
      <c r="F186" s="71">
        <v>10</v>
      </c>
      <c r="G186" s="85">
        <v>0.218</v>
      </c>
      <c r="H186" s="74">
        <v>6.18</v>
      </c>
      <c r="I186" s="74">
        <v>6.27</v>
      </c>
      <c r="J186" s="74">
        <v>1.89</v>
      </c>
      <c r="K186" s="74">
        <v>1.91</v>
      </c>
      <c r="L186" s="74">
        <v>16.27</v>
      </c>
      <c r="M186" s="74">
        <v>4.87</v>
      </c>
      <c r="N186" s="74">
        <v>14.82</v>
      </c>
      <c r="O186" s="74">
        <v>35.97</v>
      </c>
      <c r="P186" s="72">
        <f t="shared" si="2"/>
        <v>4.5871559633027523</v>
      </c>
    </row>
    <row r="187" spans="1:16" x14ac:dyDescent="0.25">
      <c r="A187" s="69" t="s">
        <v>296</v>
      </c>
      <c r="B187" s="72">
        <f>(6*38)/12</f>
        <v>19</v>
      </c>
      <c r="C187" s="69" t="s">
        <v>103</v>
      </c>
      <c r="D187" s="70">
        <v>34700</v>
      </c>
      <c r="E187" s="71">
        <v>200</v>
      </c>
      <c r="F187" s="71">
        <v>10</v>
      </c>
      <c r="G187" s="85">
        <v>0.17199999999999999</v>
      </c>
      <c r="H187" s="74">
        <v>4.88</v>
      </c>
      <c r="I187" s="74">
        <v>4.95</v>
      </c>
      <c r="J187" s="74">
        <v>1.49</v>
      </c>
      <c r="K187" s="74">
        <v>1.51</v>
      </c>
      <c r="L187" s="74">
        <v>12.84</v>
      </c>
      <c r="M187" s="74">
        <v>3.85</v>
      </c>
      <c r="N187" s="74">
        <v>11.7</v>
      </c>
      <c r="O187" s="74">
        <v>28.39</v>
      </c>
      <c r="P187" s="72">
        <f t="shared" si="2"/>
        <v>5.8139534883720936</v>
      </c>
    </row>
    <row r="188" spans="1:16" x14ac:dyDescent="0.25">
      <c r="A188" s="69" t="s">
        <v>297</v>
      </c>
      <c r="B188" s="87" t="s">
        <v>204</v>
      </c>
      <c r="C188" s="69" t="s">
        <v>109</v>
      </c>
      <c r="D188" s="70">
        <v>16600</v>
      </c>
      <c r="E188" s="71">
        <v>100</v>
      </c>
      <c r="F188" s="71">
        <v>10</v>
      </c>
      <c r="G188" s="85">
        <v>8.5000000000000006E-2</v>
      </c>
      <c r="H188" s="74">
        <v>1.64</v>
      </c>
      <c r="I188" s="74">
        <v>3.87</v>
      </c>
      <c r="J188" s="74">
        <v>0.35</v>
      </c>
      <c r="K188" s="74">
        <v>1.05</v>
      </c>
      <c r="L188" s="74">
        <v>6.93</v>
      </c>
      <c r="M188" s="74">
        <v>1.87</v>
      </c>
      <c r="N188" s="74">
        <v>8.15</v>
      </c>
      <c r="O188" s="74">
        <v>16.95</v>
      </c>
      <c r="P188" s="72">
        <f t="shared" si="2"/>
        <v>11.76470588235294</v>
      </c>
    </row>
    <row r="189" spans="1:16" x14ac:dyDescent="0.25">
      <c r="A189" s="62" t="s">
        <v>298</v>
      </c>
      <c r="B189" s="65">
        <v>10</v>
      </c>
      <c r="C189" s="62" t="s">
        <v>165</v>
      </c>
      <c r="D189" s="63">
        <v>54200</v>
      </c>
      <c r="E189" s="64">
        <v>150</v>
      </c>
      <c r="F189" s="64">
        <v>8</v>
      </c>
      <c r="G189" s="84">
        <v>0.21099999999999999</v>
      </c>
      <c r="H189" s="67">
        <v>5.99</v>
      </c>
      <c r="I189" s="67">
        <v>4.16</v>
      </c>
      <c r="J189" s="67">
        <v>4.29</v>
      </c>
      <c r="K189" s="67">
        <v>0.95</v>
      </c>
      <c r="L189" s="67">
        <v>15.41</v>
      </c>
      <c r="M189" s="67">
        <v>10.37</v>
      </c>
      <c r="N189" s="67">
        <v>7.14</v>
      </c>
      <c r="O189" s="67">
        <v>32.93</v>
      </c>
      <c r="P189" s="65">
        <f t="shared" si="2"/>
        <v>4.7393364928909953</v>
      </c>
    </row>
    <row r="190" spans="1:16" x14ac:dyDescent="0.25">
      <c r="A190" s="62" t="s">
        <v>299</v>
      </c>
      <c r="B190" s="65">
        <v>12</v>
      </c>
      <c r="C190" s="62" t="s">
        <v>165</v>
      </c>
      <c r="D190" s="63">
        <v>69800</v>
      </c>
      <c r="E190" s="64">
        <v>150</v>
      </c>
      <c r="F190" s="64">
        <v>8</v>
      </c>
      <c r="G190" s="84">
        <v>0.17599999999999999</v>
      </c>
      <c r="H190" s="67">
        <v>4.99</v>
      </c>
      <c r="I190" s="67">
        <v>3.46</v>
      </c>
      <c r="J190" s="67">
        <v>4.6100000000000003</v>
      </c>
      <c r="K190" s="67">
        <v>0.79</v>
      </c>
      <c r="L190" s="67">
        <v>13.87</v>
      </c>
      <c r="M190" s="67">
        <v>11.13</v>
      </c>
      <c r="N190" s="67">
        <v>5.95</v>
      </c>
      <c r="O190" s="67">
        <v>30.96</v>
      </c>
      <c r="P190" s="65">
        <f t="shared" si="2"/>
        <v>5.6818181818181825</v>
      </c>
    </row>
    <row r="191" spans="1:16" x14ac:dyDescent="0.25">
      <c r="A191" s="62" t="s">
        <v>300</v>
      </c>
      <c r="B191" s="65">
        <v>15</v>
      </c>
      <c r="C191" s="62" t="s">
        <v>99</v>
      </c>
      <c r="D191" s="63">
        <v>83200</v>
      </c>
      <c r="E191" s="64">
        <v>150</v>
      </c>
      <c r="F191" s="64">
        <v>8</v>
      </c>
      <c r="G191" s="84">
        <v>0.14099999999999999</v>
      </c>
      <c r="H191" s="67">
        <v>3.99</v>
      </c>
      <c r="I191" s="67">
        <v>3.2</v>
      </c>
      <c r="J191" s="67">
        <v>4.4000000000000004</v>
      </c>
      <c r="K191" s="67">
        <v>0.85</v>
      </c>
      <c r="L191" s="67">
        <v>12.45</v>
      </c>
      <c r="M191" s="67">
        <v>10.62</v>
      </c>
      <c r="N191" s="67">
        <v>6.39</v>
      </c>
      <c r="O191" s="67">
        <v>29.47</v>
      </c>
      <c r="P191" s="65">
        <f t="shared" si="2"/>
        <v>7.0921985815602842</v>
      </c>
    </row>
    <row r="192" spans="1:16" x14ac:dyDescent="0.25">
      <c r="A192" s="62" t="s">
        <v>301</v>
      </c>
      <c r="B192" s="65">
        <v>20</v>
      </c>
      <c r="C192" s="62" t="s">
        <v>101</v>
      </c>
      <c r="D192" s="63">
        <v>109000</v>
      </c>
      <c r="E192" s="64">
        <v>150</v>
      </c>
      <c r="F192" s="64">
        <v>8</v>
      </c>
      <c r="G192" s="84">
        <v>0.105</v>
      </c>
      <c r="H192" s="67">
        <v>2.99</v>
      </c>
      <c r="I192" s="67">
        <v>2.72</v>
      </c>
      <c r="J192" s="67">
        <v>4.32</v>
      </c>
      <c r="K192" s="67">
        <v>0.72</v>
      </c>
      <c r="L192" s="67">
        <v>10.76</v>
      </c>
      <c r="M192" s="67">
        <v>10.43</v>
      </c>
      <c r="N192" s="67">
        <v>5.58</v>
      </c>
      <c r="O192" s="67">
        <v>26.78</v>
      </c>
      <c r="P192" s="65">
        <f t="shared" si="2"/>
        <v>9.5238095238095237</v>
      </c>
    </row>
    <row r="193" spans="1:16" x14ac:dyDescent="0.25">
      <c r="A193" s="62" t="s">
        <v>302</v>
      </c>
      <c r="B193" s="65">
        <v>24</v>
      </c>
      <c r="C193" s="62" t="s">
        <v>103</v>
      </c>
      <c r="D193" s="63">
        <v>117000</v>
      </c>
      <c r="E193" s="64">
        <v>150</v>
      </c>
      <c r="F193" s="64">
        <v>8</v>
      </c>
      <c r="G193" s="84">
        <v>8.7999999999999995E-2</v>
      </c>
      <c r="H193" s="67">
        <v>2.4900000000000002</v>
      </c>
      <c r="I193" s="67">
        <v>2.5299999999999998</v>
      </c>
      <c r="J193" s="67">
        <v>3.86</v>
      </c>
      <c r="K193" s="67">
        <v>0.77</v>
      </c>
      <c r="L193" s="67">
        <v>9.67</v>
      </c>
      <c r="M193" s="67">
        <v>9.33</v>
      </c>
      <c r="N193" s="67">
        <v>5.98</v>
      </c>
      <c r="O193" s="67">
        <v>24.99</v>
      </c>
      <c r="P193" s="65">
        <f t="shared" si="2"/>
        <v>11.363636363636365</v>
      </c>
    </row>
    <row r="194" spans="1:16" x14ac:dyDescent="0.25">
      <c r="A194" s="62" t="s">
        <v>303</v>
      </c>
      <c r="B194" s="65">
        <v>30</v>
      </c>
      <c r="C194" s="62" t="s">
        <v>106</v>
      </c>
      <c r="D194" s="63">
        <v>116000</v>
      </c>
      <c r="E194" s="64">
        <v>150</v>
      </c>
      <c r="F194" s="64">
        <v>8</v>
      </c>
      <c r="G194" s="84">
        <v>7.0000000000000007E-2</v>
      </c>
      <c r="H194" s="67">
        <v>1.99</v>
      </c>
      <c r="I194" s="67">
        <v>2.4</v>
      </c>
      <c r="J194" s="67">
        <v>3.06</v>
      </c>
      <c r="K194" s="67">
        <v>0.67</v>
      </c>
      <c r="L194" s="67">
        <v>8.14</v>
      </c>
      <c r="M194" s="67">
        <v>7.4</v>
      </c>
      <c r="N194" s="67">
        <v>5.23</v>
      </c>
      <c r="O194" s="67">
        <v>20.77</v>
      </c>
      <c r="P194" s="65">
        <f t="shared" si="2"/>
        <v>14.285714285714285</v>
      </c>
    </row>
    <row r="195" spans="1:16" x14ac:dyDescent="0.25">
      <c r="A195" s="62" t="s">
        <v>304</v>
      </c>
      <c r="B195" s="65">
        <v>10</v>
      </c>
      <c r="C195" s="62" t="s">
        <v>165</v>
      </c>
      <c r="D195" s="63">
        <v>48100</v>
      </c>
      <c r="E195" s="64">
        <v>150</v>
      </c>
      <c r="F195" s="64">
        <v>8</v>
      </c>
      <c r="G195" s="84">
        <v>0.23499999999999999</v>
      </c>
      <c r="H195" s="67">
        <v>6.68</v>
      </c>
      <c r="I195" s="67">
        <v>4.63</v>
      </c>
      <c r="J195" s="67">
        <v>4.25</v>
      </c>
      <c r="K195" s="67">
        <v>1.06</v>
      </c>
      <c r="L195" s="67">
        <v>16.63</v>
      </c>
      <c r="M195" s="67">
        <v>10.26</v>
      </c>
      <c r="N195" s="67">
        <v>7.95</v>
      </c>
      <c r="O195" s="67">
        <v>34.85</v>
      </c>
      <c r="P195" s="65">
        <f t="shared" si="2"/>
        <v>4.2553191489361701</v>
      </c>
    </row>
    <row r="196" spans="1:16" x14ac:dyDescent="0.25">
      <c r="A196" s="62" t="s">
        <v>305</v>
      </c>
      <c r="B196" s="65">
        <v>12</v>
      </c>
      <c r="C196" s="62" t="s">
        <v>165</v>
      </c>
      <c r="D196" s="63">
        <v>63700</v>
      </c>
      <c r="E196" s="64">
        <v>150</v>
      </c>
      <c r="F196" s="64">
        <v>8</v>
      </c>
      <c r="G196" s="84">
        <v>0.16300000000000001</v>
      </c>
      <c r="H196" s="67">
        <v>4.63</v>
      </c>
      <c r="I196" s="67">
        <v>3.22</v>
      </c>
      <c r="J196" s="67">
        <v>3.91</v>
      </c>
      <c r="K196" s="67">
        <v>0.73</v>
      </c>
      <c r="L196" s="67">
        <v>12.5</v>
      </c>
      <c r="M196" s="67">
        <v>9.43</v>
      </c>
      <c r="N196" s="67">
        <v>5.52</v>
      </c>
      <c r="O196" s="67">
        <v>27.47</v>
      </c>
      <c r="P196" s="65">
        <f t="shared" si="2"/>
        <v>6.1349693251533743</v>
      </c>
    </row>
    <row r="197" spans="1:16" x14ac:dyDescent="0.25">
      <c r="A197" s="62" t="s">
        <v>306</v>
      </c>
      <c r="B197" s="65">
        <v>15</v>
      </c>
      <c r="C197" s="62" t="s">
        <v>99</v>
      </c>
      <c r="D197" s="63">
        <v>77100</v>
      </c>
      <c r="E197" s="64">
        <v>150</v>
      </c>
      <c r="F197" s="64">
        <v>8</v>
      </c>
      <c r="G197" s="84">
        <v>0.13</v>
      </c>
      <c r="H197" s="67">
        <v>3.71</v>
      </c>
      <c r="I197" s="67">
        <v>2.97</v>
      </c>
      <c r="J197" s="67">
        <v>3.78</v>
      </c>
      <c r="K197" s="67">
        <v>0.79</v>
      </c>
      <c r="L197" s="67">
        <v>11.26</v>
      </c>
      <c r="M197" s="67">
        <v>9.1300000000000008</v>
      </c>
      <c r="N197" s="67">
        <v>5.94</v>
      </c>
      <c r="O197" s="67">
        <v>26.34</v>
      </c>
      <c r="P197" s="65">
        <f t="shared" ref="P197:P260" si="3">1/G197</f>
        <v>7.6923076923076916</v>
      </c>
    </row>
    <row r="198" spans="1:16" x14ac:dyDescent="0.25">
      <c r="A198" s="62" t="s">
        <v>307</v>
      </c>
      <c r="B198" s="65">
        <v>20</v>
      </c>
      <c r="C198" s="62" t="s">
        <v>101</v>
      </c>
      <c r="D198" s="63">
        <v>103000</v>
      </c>
      <c r="E198" s="64">
        <v>150</v>
      </c>
      <c r="F198" s="64">
        <v>8</v>
      </c>
      <c r="G198" s="84">
        <v>9.8000000000000004E-2</v>
      </c>
      <c r="H198" s="67">
        <v>2.78</v>
      </c>
      <c r="I198" s="67">
        <v>2.52</v>
      </c>
      <c r="J198" s="67">
        <v>3.79</v>
      </c>
      <c r="K198" s="67">
        <v>0.67</v>
      </c>
      <c r="L198" s="67">
        <v>9.77</v>
      </c>
      <c r="M198" s="67">
        <v>9.15</v>
      </c>
      <c r="N198" s="67">
        <v>5.18</v>
      </c>
      <c r="O198" s="67">
        <v>24.11</v>
      </c>
      <c r="P198" s="65">
        <f t="shared" si="3"/>
        <v>10.204081632653061</v>
      </c>
    </row>
    <row r="199" spans="1:16" x14ac:dyDescent="0.25">
      <c r="A199" s="62" t="s">
        <v>308</v>
      </c>
      <c r="B199" s="65">
        <v>24</v>
      </c>
      <c r="C199" s="62" t="s">
        <v>103</v>
      </c>
      <c r="D199" s="63">
        <v>111300</v>
      </c>
      <c r="E199" s="64">
        <v>150</v>
      </c>
      <c r="F199" s="64">
        <v>8</v>
      </c>
      <c r="G199" s="84">
        <v>8.1000000000000003E-2</v>
      </c>
      <c r="H199" s="67">
        <v>2.31</v>
      </c>
      <c r="I199" s="67">
        <v>2.35</v>
      </c>
      <c r="J199" s="67">
        <v>3.41</v>
      </c>
      <c r="K199" s="67">
        <v>0.71</v>
      </c>
      <c r="L199" s="67">
        <v>8.8000000000000007</v>
      </c>
      <c r="M199" s="67">
        <v>8.24</v>
      </c>
      <c r="N199" s="67">
        <v>5.55</v>
      </c>
      <c r="O199" s="67">
        <v>22.61</v>
      </c>
      <c r="P199" s="65">
        <f t="shared" si="3"/>
        <v>12.345679012345679</v>
      </c>
    </row>
    <row r="200" spans="1:16" x14ac:dyDescent="0.25">
      <c r="A200" s="62" t="s">
        <v>309</v>
      </c>
      <c r="B200" s="65">
        <v>30</v>
      </c>
      <c r="C200" s="62" t="s">
        <v>106</v>
      </c>
      <c r="D200" s="63">
        <v>110200</v>
      </c>
      <c r="E200" s="64">
        <v>150</v>
      </c>
      <c r="F200" s="64">
        <v>8</v>
      </c>
      <c r="G200" s="84">
        <v>6.5000000000000002E-2</v>
      </c>
      <c r="H200" s="67">
        <v>1.85</v>
      </c>
      <c r="I200" s="67">
        <v>2.2200000000000002</v>
      </c>
      <c r="J200" s="67">
        <v>2.7</v>
      </c>
      <c r="K200" s="67">
        <v>0.62</v>
      </c>
      <c r="L200" s="67">
        <v>7.41</v>
      </c>
      <c r="M200" s="67">
        <v>6.53</v>
      </c>
      <c r="N200" s="67">
        <v>4.8499999999999996</v>
      </c>
      <c r="O200" s="67">
        <v>18.8</v>
      </c>
      <c r="P200" s="65">
        <f t="shared" si="3"/>
        <v>15.384615384615383</v>
      </c>
    </row>
    <row r="201" spans="1:16" x14ac:dyDescent="0.25">
      <c r="A201" s="69" t="s">
        <v>310</v>
      </c>
      <c r="B201" s="72">
        <f>(8*38)/12</f>
        <v>25.333333333333332</v>
      </c>
      <c r="C201" s="69" t="s">
        <v>101</v>
      </c>
      <c r="D201" s="70">
        <v>88300</v>
      </c>
      <c r="E201" s="71">
        <v>150</v>
      </c>
      <c r="F201" s="71">
        <v>8</v>
      </c>
      <c r="G201" s="85">
        <v>8.3000000000000004E-2</v>
      </c>
      <c r="H201" s="74">
        <v>2.36</v>
      </c>
      <c r="I201" s="74">
        <v>2.15</v>
      </c>
      <c r="J201" s="74">
        <v>2.76</v>
      </c>
      <c r="K201" s="74">
        <v>0.56999999999999995</v>
      </c>
      <c r="L201" s="74">
        <v>7.85</v>
      </c>
      <c r="M201" s="74">
        <v>6.68</v>
      </c>
      <c r="N201" s="74">
        <v>4.41</v>
      </c>
      <c r="O201" s="74">
        <v>18.95</v>
      </c>
      <c r="P201" s="72">
        <f t="shared" si="3"/>
        <v>12.048192771084336</v>
      </c>
    </row>
    <row r="202" spans="1:16" x14ac:dyDescent="0.25">
      <c r="A202" s="69" t="s">
        <v>311</v>
      </c>
      <c r="B202" s="72">
        <f>(8*38)/12</f>
        <v>25.333333333333332</v>
      </c>
      <c r="C202" s="69" t="s">
        <v>101</v>
      </c>
      <c r="D202" s="70">
        <v>153000</v>
      </c>
      <c r="E202" s="71">
        <v>150</v>
      </c>
      <c r="F202" s="71">
        <v>8</v>
      </c>
      <c r="G202" s="85">
        <v>5.5E-2</v>
      </c>
      <c r="H202" s="74">
        <v>1.57</v>
      </c>
      <c r="I202" s="74">
        <v>1.43</v>
      </c>
      <c r="J202" s="74">
        <v>3.19</v>
      </c>
      <c r="K202" s="74">
        <v>0.38</v>
      </c>
      <c r="L202" s="74">
        <v>6.58</v>
      </c>
      <c r="M202" s="74">
        <v>7.71</v>
      </c>
      <c r="N202" s="74">
        <v>2.93</v>
      </c>
      <c r="O202" s="74">
        <v>17.23</v>
      </c>
      <c r="P202" s="72">
        <f t="shared" si="3"/>
        <v>18.181818181818183</v>
      </c>
    </row>
    <row r="203" spans="1:16" x14ac:dyDescent="0.25">
      <c r="A203" s="69" t="s">
        <v>312</v>
      </c>
      <c r="B203" s="72">
        <f>(12*20)/12</f>
        <v>20</v>
      </c>
      <c r="C203" s="69" t="s">
        <v>103</v>
      </c>
      <c r="D203" s="70">
        <v>82800</v>
      </c>
      <c r="E203" s="71">
        <v>150</v>
      </c>
      <c r="F203" s="71">
        <v>8</v>
      </c>
      <c r="G203" s="85">
        <v>0.105</v>
      </c>
      <c r="H203" s="74">
        <v>2.99</v>
      </c>
      <c r="I203" s="74">
        <v>3.04</v>
      </c>
      <c r="J203" s="74">
        <v>3.28</v>
      </c>
      <c r="K203" s="74">
        <v>0.92</v>
      </c>
      <c r="L203" s="74">
        <v>10.25</v>
      </c>
      <c r="M203" s="74">
        <v>7.92</v>
      </c>
      <c r="N203" s="74">
        <v>7.18</v>
      </c>
      <c r="O203" s="74">
        <v>25.36</v>
      </c>
      <c r="P203" s="72">
        <f t="shared" si="3"/>
        <v>9.5238095238095237</v>
      </c>
    </row>
    <row r="204" spans="1:16" x14ac:dyDescent="0.25">
      <c r="A204" s="69" t="s">
        <v>313</v>
      </c>
      <c r="B204" s="72">
        <f>(12*30)/12</f>
        <v>30</v>
      </c>
      <c r="C204" s="69" t="s">
        <v>103</v>
      </c>
      <c r="D204" s="70">
        <v>140000</v>
      </c>
      <c r="E204" s="71">
        <v>150</v>
      </c>
      <c r="F204" s="71">
        <v>8</v>
      </c>
      <c r="G204" s="85">
        <v>7.0000000000000007E-2</v>
      </c>
      <c r="H204" s="74">
        <v>1.99</v>
      </c>
      <c r="I204" s="74">
        <v>2.02</v>
      </c>
      <c r="J204" s="74">
        <v>3.7</v>
      </c>
      <c r="K204" s="74">
        <v>0.61</v>
      </c>
      <c r="L204" s="74">
        <v>8.34</v>
      </c>
      <c r="M204" s="74">
        <v>8.93</v>
      </c>
      <c r="N204" s="74">
        <v>4.78</v>
      </c>
      <c r="O204" s="74">
        <v>22.07</v>
      </c>
      <c r="P204" s="72">
        <f t="shared" si="3"/>
        <v>14.285714285714285</v>
      </c>
    </row>
    <row r="205" spans="1:16" x14ac:dyDescent="0.25">
      <c r="A205" s="69" t="s">
        <v>314</v>
      </c>
      <c r="B205" s="72">
        <f>(12*38)/12</f>
        <v>38</v>
      </c>
      <c r="C205" s="69" t="s">
        <v>103</v>
      </c>
      <c r="D205" s="70">
        <v>163000</v>
      </c>
      <c r="E205" s="71">
        <v>150</v>
      </c>
      <c r="F205" s="71">
        <v>8</v>
      </c>
      <c r="G205" s="85">
        <v>5.5E-2</v>
      </c>
      <c r="H205" s="74">
        <v>1.57</v>
      </c>
      <c r="I205" s="74">
        <v>1.6</v>
      </c>
      <c r="J205" s="74">
        <v>3.4</v>
      </c>
      <c r="K205" s="74">
        <v>0.48</v>
      </c>
      <c r="L205" s="74">
        <v>7.07</v>
      </c>
      <c r="M205" s="74">
        <v>8.2100000000000009</v>
      </c>
      <c r="N205" s="74">
        <v>3.78</v>
      </c>
      <c r="O205" s="74">
        <v>19.059999999999999</v>
      </c>
      <c r="P205" s="72">
        <f t="shared" si="3"/>
        <v>18.181818181818183</v>
      </c>
    </row>
    <row r="206" spans="1:16" x14ac:dyDescent="0.25">
      <c r="A206" s="69" t="s">
        <v>315</v>
      </c>
      <c r="B206" s="72">
        <f>(16*30)/12</f>
        <v>40</v>
      </c>
      <c r="C206" s="69" t="s">
        <v>103</v>
      </c>
      <c r="D206" s="70">
        <v>221000</v>
      </c>
      <c r="E206" s="71">
        <v>150</v>
      </c>
      <c r="F206" s="71">
        <v>8</v>
      </c>
      <c r="G206" s="85">
        <v>5.1999999999999998E-2</v>
      </c>
      <c r="H206" s="74">
        <v>1.49</v>
      </c>
      <c r="I206" s="74">
        <v>1.52</v>
      </c>
      <c r="J206" s="74">
        <v>4.38</v>
      </c>
      <c r="K206" s="74">
        <v>0.46</v>
      </c>
      <c r="L206" s="74">
        <v>7.86</v>
      </c>
      <c r="M206" s="74">
        <v>10.57</v>
      </c>
      <c r="N206" s="74">
        <v>3.59</v>
      </c>
      <c r="O206" s="74">
        <v>22.03</v>
      </c>
      <c r="P206" s="72">
        <f t="shared" si="3"/>
        <v>19.23076923076923</v>
      </c>
    </row>
    <row r="207" spans="1:16" x14ac:dyDescent="0.25">
      <c r="A207" s="69" t="s">
        <v>316</v>
      </c>
      <c r="B207" s="72">
        <f>(23*15)/12</f>
        <v>28.75</v>
      </c>
      <c r="C207" s="69" t="s">
        <v>103</v>
      </c>
      <c r="D207" s="70">
        <v>218000</v>
      </c>
      <c r="E207" s="71">
        <v>150</v>
      </c>
      <c r="F207" s="71">
        <v>8</v>
      </c>
      <c r="G207" s="85">
        <v>7.2999999999999995E-2</v>
      </c>
      <c r="H207" s="74">
        <v>2.08</v>
      </c>
      <c r="I207" s="74">
        <v>2.11</v>
      </c>
      <c r="J207" s="74">
        <v>6</v>
      </c>
      <c r="K207" s="74">
        <v>0.64</v>
      </c>
      <c r="L207" s="74">
        <v>10.84</v>
      </c>
      <c r="M207" s="74">
        <v>14.49</v>
      </c>
      <c r="N207" s="74">
        <v>4.9800000000000004</v>
      </c>
      <c r="O207" s="74">
        <v>30.32</v>
      </c>
      <c r="P207" s="72">
        <f t="shared" si="3"/>
        <v>13.698630136986303</v>
      </c>
    </row>
    <row r="208" spans="1:16" x14ac:dyDescent="0.25">
      <c r="A208" s="69" t="s">
        <v>317</v>
      </c>
      <c r="B208" s="72">
        <f>(24*20)/12</f>
        <v>40</v>
      </c>
      <c r="C208" s="69" t="s">
        <v>103</v>
      </c>
      <c r="D208" s="70">
        <v>269000</v>
      </c>
      <c r="E208" s="71">
        <v>150</v>
      </c>
      <c r="F208" s="71">
        <v>8</v>
      </c>
      <c r="G208" s="85">
        <v>5.1999999999999998E-2</v>
      </c>
      <c r="H208" s="74">
        <v>1.49</v>
      </c>
      <c r="I208" s="74">
        <v>1.52</v>
      </c>
      <c r="J208" s="74">
        <v>5.33</v>
      </c>
      <c r="K208" s="74">
        <v>0.46</v>
      </c>
      <c r="L208" s="74">
        <v>8.81</v>
      </c>
      <c r="M208" s="74">
        <v>12.87</v>
      </c>
      <c r="N208" s="74">
        <v>3.59</v>
      </c>
      <c r="O208" s="74">
        <v>25.28</v>
      </c>
      <c r="P208" s="72">
        <f t="shared" si="3"/>
        <v>19.23076923076923</v>
      </c>
    </row>
    <row r="209" spans="1:16" x14ac:dyDescent="0.25">
      <c r="A209" s="69" t="s">
        <v>318</v>
      </c>
      <c r="B209" s="72">
        <f>(24*30)/12</f>
        <v>60</v>
      </c>
      <c r="C209" s="69" t="s">
        <v>103</v>
      </c>
      <c r="D209" s="70">
        <v>227000</v>
      </c>
      <c r="E209" s="71">
        <v>150</v>
      </c>
      <c r="F209" s="71">
        <v>8</v>
      </c>
      <c r="G209" s="85">
        <v>3.5000000000000003E-2</v>
      </c>
      <c r="H209" s="74">
        <v>0.99</v>
      </c>
      <c r="I209" s="74">
        <v>1.01</v>
      </c>
      <c r="J209" s="74">
        <v>3</v>
      </c>
      <c r="K209" s="74">
        <v>0.3</v>
      </c>
      <c r="L209" s="74">
        <v>5.32</v>
      </c>
      <c r="M209" s="74">
        <v>7.24</v>
      </c>
      <c r="N209" s="74">
        <v>2.39</v>
      </c>
      <c r="O209" s="74">
        <v>14.96</v>
      </c>
      <c r="P209" s="72">
        <f t="shared" si="3"/>
        <v>28.571428571428569</v>
      </c>
    </row>
    <row r="210" spans="1:16" x14ac:dyDescent="0.25">
      <c r="A210" s="69" t="s">
        <v>319</v>
      </c>
      <c r="B210" s="72">
        <f>(31*15)/12</f>
        <v>38.75</v>
      </c>
      <c r="C210" s="69" t="s">
        <v>106</v>
      </c>
      <c r="D210" s="70">
        <v>267000</v>
      </c>
      <c r="E210" s="71">
        <v>150</v>
      </c>
      <c r="F210" s="71">
        <v>8</v>
      </c>
      <c r="G210" s="85">
        <v>5.3999999999999999E-2</v>
      </c>
      <c r="H210" s="74">
        <v>1.54</v>
      </c>
      <c r="I210" s="74">
        <v>1.86</v>
      </c>
      <c r="J210" s="74">
        <v>5.47</v>
      </c>
      <c r="K210" s="74">
        <v>0.52</v>
      </c>
      <c r="L210" s="74">
        <v>9.4</v>
      </c>
      <c r="M210" s="74">
        <v>13.21</v>
      </c>
      <c r="N210" s="74">
        <v>4.05</v>
      </c>
      <c r="O210" s="74">
        <v>26.67</v>
      </c>
      <c r="P210" s="72">
        <f t="shared" si="3"/>
        <v>18.518518518518519</v>
      </c>
    </row>
    <row r="211" spans="1:16" x14ac:dyDescent="0.25">
      <c r="A211" s="69" t="s">
        <v>320</v>
      </c>
      <c r="B211" s="72">
        <f>(32*15)/12</f>
        <v>40</v>
      </c>
      <c r="C211" s="69" t="s">
        <v>106</v>
      </c>
      <c r="D211" s="70">
        <v>272000</v>
      </c>
      <c r="E211" s="71">
        <v>150</v>
      </c>
      <c r="F211" s="71">
        <v>8</v>
      </c>
      <c r="G211" s="85">
        <v>5.1999999999999998E-2</v>
      </c>
      <c r="H211" s="74">
        <v>1.49</v>
      </c>
      <c r="I211" s="74">
        <v>1.8</v>
      </c>
      <c r="J211" s="74">
        <v>5.39</v>
      </c>
      <c r="K211" s="74">
        <v>0.5</v>
      </c>
      <c r="L211" s="74">
        <v>9.1999999999999993</v>
      </c>
      <c r="M211" s="74">
        <v>13.02</v>
      </c>
      <c r="N211" s="74">
        <v>3.92</v>
      </c>
      <c r="O211" s="74">
        <v>26.14</v>
      </c>
      <c r="P211" s="72">
        <f t="shared" si="3"/>
        <v>19.23076923076923</v>
      </c>
    </row>
    <row r="212" spans="1:16" x14ac:dyDescent="0.25">
      <c r="A212" s="69" t="s">
        <v>321</v>
      </c>
      <c r="B212" s="72">
        <f>(4*30)/12</f>
        <v>10</v>
      </c>
      <c r="C212" s="69" t="s">
        <v>165</v>
      </c>
      <c r="D212" s="70">
        <v>43500</v>
      </c>
      <c r="E212" s="71">
        <v>150</v>
      </c>
      <c r="F212" s="71">
        <v>8</v>
      </c>
      <c r="G212" s="85">
        <v>0.21099999999999999</v>
      </c>
      <c r="H212" s="74">
        <v>5.99</v>
      </c>
      <c r="I212" s="74">
        <v>4.16</v>
      </c>
      <c r="J212" s="74">
        <v>3.45</v>
      </c>
      <c r="K212" s="74">
        <v>0.95</v>
      </c>
      <c r="L212" s="74">
        <v>14.56</v>
      </c>
      <c r="M212" s="74">
        <v>8.32</v>
      </c>
      <c r="N212" s="74">
        <v>7.14</v>
      </c>
      <c r="O212" s="74">
        <v>30.03</v>
      </c>
      <c r="P212" s="72">
        <f t="shared" si="3"/>
        <v>4.7393364928909953</v>
      </c>
    </row>
    <row r="213" spans="1:16" x14ac:dyDescent="0.25">
      <c r="A213" s="69" t="s">
        <v>322</v>
      </c>
      <c r="B213" s="72">
        <f>(4*38)/12</f>
        <v>12.666666666666666</v>
      </c>
      <c r="C213" s="69" t="s">
        <v>165</v>
      </c>
      <c r="D213" s="70">
        <v>38400</v>
      </c>
      <c r="E213" s="71">
        <v>150</v>
      </c>
      <c r="F213" s="71">
        <v>8</v>
      </c>
      <c r="G213" s="85">
        <v>0.16600000000000001</v>
      </c>
      <c r="H213" s="74">
        <v>4.72</v>
      </c>
      <c r="I213" s="74">
        <v>3.27</v>
      </c>
      <c r="J213" s="74">
        <v>2.39</v>
      </c>
      <c r="K213" s="74">
        <v>0.75</v>
      </c>
      <c r="L213" s="74">
        <v>11.14</v>
      </c>
      <c r="M213" s="74">
        <v>5.79</v>
      </c>
      <c r="N213" s="74">
        <v>5.62</v>
      </c>
      <c r="O213" s="74">
        <v>22.56</v>
      </c>
      <c r="P213" s="72">
        <f t="shared" si="3"/>
        <v>6.0240963855421681</v>
      </c>
    </row>
    <row r="214" spans="1:16" x14ac:dyDescent="0.25">
      <c r="A214" s="69" t="s">
        <v>323</v>
      </c>
      <c r="B214" s="72">
        <f>(6*30)/12</f>
        <v>15</v>
      </c>
      <c r="C214" s="69" t="s">
        <v>99</v>
      </c>
      <c r="D214" s="70">
        <v>52900</v>
      </c>
      <c r="E214" s="71">
        <v>150</v>
      </c>
      <c r="F214" s="71">
        <v>8</v>
      </c>
      <c r="G214" s="85">
        <v>0.14099999999999999</v>
      </c>
      <c r="H214" s="74">
        <v>3.99</v>
      </c>
      <c r="I214" s="74">
        <v>3.2</v>
      </c>
      <c r="J214" s="74">
        <v>2.79</v>
      </c>
      <c r="K214" s="74">
        <v>0.85</v>
      </c>
      <c r="L214" s="74">
        <v>10.85</v>
      </c>
      <c r="M214" s="74">
        <v>6.75</v>
      </c>
      <c r="N214" s="74">
        <v>6.39</v>
      </c>
      <c r="O214" s="74">
        <v>24</v>
      </c>
      <c r="P214" s="72">
        <f t="shared" si="3"/>
        <v>7.0921985815602842</v>
      </c>
    </row>
    <row r="215" spans="1:16" x14ac:dyDescent="0.25">
      <c r="A215" s="69" t="s">
        <v>324</v>
      </c>
      <c r="B215" s="72">
        <f>(6*38)/12</f>
        <v>19</v>
      </c>
      <c r="C215" s="69" t="s">
        <v>99</v>
      </c>
      <c r="D215" s="70">
        <v>49000</v>
      </c>
      <c r="E215" s="71">
        <v>150</v>
      </c>
      <c r="F215" s="71">
        <v>8</v>
      </c>
      <c r="G215" s="85">
        <v>0.111</v>
      </c>
      <c r="H215" s="74">
        <v>3.15</v>
      </c>
      <c r="I215" s="74">
        <v>2.52</v>
      </c>
      <c r="J215" s="74">
        <v>2.04</v>
      </c>
      <c r="K215" s="74">
        <v>0.67</v>
      </c>
      <c r="L215" s="74">
        <v>8.4</v>
      </c>
      <c r="M215" s="74">
        <v>4.93</v>
      </c>
      <c r="N215" s="74">
        <v>5.05</v>
      </c>
      <c r="O215" s="74">
        <v>18.39</v>
      </c>
      <c r="P215" s="72">
        <f t="shared" si="3"/>
        <v>9.0090090090090094</v>
      </c>
    </row>
    <row r="216" spans="1:16" x14ac:dyDescent="0.25">
      <c r="A216" s="69" t="s">
        <v>325</v>
      </c>
      <c r="B216" s="72">
        <f>(8*30)/12</f>
        <v>20</v>
      </c>
      <c r="C216" s="69" t="s">
        <v>101</v>
      </c>
      <c r="D216" s="70">
        <v>69400</v>
      </c>
      <c r="E216" s="71">
        <v>150</v>
      </c>
      <c r="F216" s="71">
        <v>8</v>
      </c>
      <c r="G216" s="85">
        <v>0.105</v>
      </c>
      <c r="H216" s="74">
        <v>2.99</v>
      </c>
      <c r="I216" s="74">
        <v>2.72</v>
      </c>
      <c r="J216" s="74">
        <v>2.75</v>
      </c>
      <c r="K216" s="74">
        <v>0.72</v>
      </c>
      <c r="L216" s="74">
        <v>9.19</v>
      </c>
      <c r="M216" s="74">
        <v>6.64</v>
      </c>
      <c r="N216" s="74">
        <v>5.58</v>
      </c>
      <c r="O216" s="74">
        <v>21.42</v>
      </c>
      <c r="P216" s="72">
        <f t="shared" si="3"/>
        <v>9.5238095238095237</v>
      </c>
    </row>
    <row r="217" spans="1:16" x14ac:dyDescent="0.25">
      <c r="A217" s="69" t="s">
        <v>326</v>
      </c>
      <c r="B217" s="72">
        <f>(8*38)/12</f>
        <v>25.333333333333332</v>
      </c>
      <c r="C217" s="69" t="s">
        <v>101</v>
      </c>
      <c r="D217" s="70">
        <v>65800</v>
      </c>
      <c r="E217" s="71">
        <v>150</v>
      </c>
      <c r="F217" s="71">
        <v>8</v>
      </c>
      <c r="G217" s="85">
        <v>8.3000000000000004E-2</v>
      </c>
      <c r="H217" s="74">
        <v>2.36</v>
      </c>
      <c r="I217" s="74">
        <v>2.15</v>
      </c>
      <c r="J217" s="74">
        <v>2.06</v>
      </c>
      <c r="K217" s="74">
        <v>0.56999999999999995</v>
      </c>
      <c r="L217" s="74">
        <v>7.15</v>
      </c>
      <c r="M217" s="74">
        <v>4.9800000000000004</v>
      </c>
      <c r="N217" s="74">
        <v>4.41</v>
      </c>
      <c r="O217" s="74">
        <v>16.54</v>
      </c>
      <c r="P217" s="72">
        <f t="shared" si="3"/>
        <v>12.048192771084336</v>
      </c>
    </row>
    <row r="218" spans="1:16" x14ac:dyDescent="0.25">
      <c r="A218" s="69" t="s">
        <v>327</v>
      </c>
      <c r="B218" s="72">
        <f>(11*15)/12</f>
        <v>13.75</v>
      </c>
      <c r="C218" s="69" t="s">
        <v>101</v>
      </c>
      <c r="D218" s="70">
        <v>71100</v>
      </c>
      <c r="E218" s="71">
        <v>150</v>
      </c>
      <c r="F218" s="71">
        <v>8</v>
      </c>
      <c r="G218" s="85">
        <v>0.14299999999999999</v>
      </c>
      <c r="H218" s="74">
        <v>4.07</v>
      </c>
      <c r="I218" s="74">
        <v>3.7</v>
      </c>
      <c r="J218" s="74">
        <v>3.83</v>
      </c>
      <c r="K218" s="74">
        <v>0.98</v>
      </c>
      <c r="L218" s="74">
        <v>12.59</v>
      </c>
      <c r="M218" s="74">
        <v>9.26</v>
      </c>
      <c r="N218" s="74">
        <v>7.59</v>
      </c>
      <c r="O218" s="74">
        <v>29.46</v>
      </c>
      <c r="P218" s="72">
        <f t="shared" si="3"/>
        <v>6.9930069930069934</v>
      </c>
    </row>
    <row r="219" spans="1:16" x14ac:dyDescent="0.25">
      <c r="A219" s="69" t="s">
        <v>328</v>
      </c>
      <c r="B219" s="72">
        <f>(11*20)/12</f>
        <v>18.333333333333332</v>
      </c>
      <c r="C219" s="69" t="s">
        <v>101</v>
      </c>
      <c r="D219" s="70">
        <v>75800</v>
      </c>
      <c r="E219" s="71">
        <v>150</v>
      </c>
      <c r="F219" s="71">
        <v>8</v>
      </c>
      <c r="G219" s="85">
        <v>0.115</v>
      </c>
      <c r="H219" s="74">
        <v>3.27</v>
      </c>
      <c r="I219" s="74">
        <v>2.97</v>
      </c>
      <c r="J219" s="74">
        <v>3.28</v>
      </c>
      <c r="K219" s="74">
        <v>0.78</v>
      </c>
      <c r="L219" s="74">
        <v>10.32</v>
      </c>
      <c r="M219" s="74">
        <v>7.93</v>
      </c>
      <c r="N219" s="74">
        <v>6.1</v>
      </c>
      <c r="O219" s="74">
        <v>24.35</v>
      </c>
      <c r="P219" s="72">
        <f t="shared" si="3"/>
        <v>8.695652173913043</v>
      </c>
    </row>
    <row r="220" spans="1:16" x14ac:dyDescent="0.25">
      <c r="A220" s="69" t="s">
        <v>329</v>
      </c>
      <c r="B220" s="72">
        <f>(12*20)/12</f>
        <v>20</v>
      </c>
      <c r="C220" s="69" t="s">
        <v>103</v>
      </c>
      <c r="D220" s="70">
        <v>80800</v>
      </c>
      <c r="E220" s="71">
        <v>150</v>
      </c>
      <c r="F220" s="71">
        <v>8</v>
      </c>
      <c r="G220" s="85">
        <v>0.105</v>
      </c>
      <c r="H220" s="74">
        <v>2.99</v>
      </c>
      <c r="I220" s="74">
        <v>3.04</v>
      </c>
      <c r="J220" s="74">
        <v>3.2</v>
      </c>
      <c r="K220" s="74">
        <v>0.92</v>
      </c>
      <c r="L220" s="74">
        <v>10.17</v>
      </c>
      <c r="M220" s="74">
        <v>7.73</v>
      </c>
      <c r="N220" s="74">
        <v>7.18</v>
      </c>
      <c r="O220" s="74">
        <v>25.09</v>
      </c>
      <c r="P220" s="72">
        <f t="shared" si="3"/>
        <v>9.5238095238095237</v>
      </c>
    </row>
    <row r="221" spans="1:16" x14ac:dyDescent="0.25">
      <c r="A221" s="69" t="s">
        <v>330</v>
      </c>
      <c r="B221" s="72">
        <f>(12*30)/12</f>
        <v>30</v>
      </c>
      <c r="C221" s="69" t="s">
        <v>103</v>
      </c>
      <c r="D221" s="70">
        <v>100700</v>
      </c>
      <c r="E221" s="71">
        <v>150</v>
      </c>
      <c r="F221" s="71">
        <v>8</v>
      </c>
      <c r="G221" s="85">
        <v>7.0000000000000007E-2</v>
      </c>
      <c r="H221" s="74">
        <v>1.99</v>
      </c>
      <c r="I221" s="74">
        <v>2.02</v>
      </c>
      <c r="J221" s="74">
        <v>2.66</v>
      </c>
      <c r="K221" s="74">
        <v>0.61</v>
      </c>
      <c r="L221" s="74">
        <v>7.3</v>
      </c>
      <c r="M221" s="74">
        <v>6.42</v>
      </c>
      <c r="N221" s="74">
        <v>4.78</v>
      </c>
      <c r="O221" s="74">
        <v>18.52</v>
      </c>
      <c r="P221" s="72">
        <f t="shared" si="3"/>
        <v>14.285714285714285</v>
      </c>
    </row>
    <row r="222" spans="1:16" x14ac:dyDescent="0.25">
      <c r="A222" s="69" t="s">
        <v>331</v>
      </c>
      <c r="B222" s="72">
        <f>(15*15)/12</f>
        <v>18.75</v>
      </c>
      <c r="C222" s="69" t="s">
        <v>103</v>
      </c>
      <c r="D222" s="70">
        <v>99300</v>
      </c>
      <c r="E222" s="71">
        <v>150</v>
      </c>
      <c r="F222" s="71">
        <v>8</v>
      </c>
      <c r="G222" s="85">
        <v>0.113</v>
      </c>
      <c r="H222" s="74">
        <v>3.2</v>
      </c>
      <c r="I222" s="74">
        <v>3.25</v>
      </c>
      <c r="J222" s="74">
        <v>4.21</v>
      </c>
      <c r="K222" s="74">
        <v>0.99</v>
      </c>
      <c r="L222" s="74">
        <v>11.66</v>
      </c>
      <c r="M222" s="74">
        <v>10.16</v>
      </c>
      <c r="N222" s="74">
        <v>7.68</v>
      </c>
      <c r="O222" s="74">
        <v>29.51</v>
      </c>
      <c r="P222" s="72">
        <f t="shared" si="3"/>
        <v>8.8495575221238933</v>
      </c>
    </row>
    <row r="223" spans="1:16" x14ac:dyDescent="0.25">
      <c r="A223" s="69" t="s">
        <v>332</v>
      </c>
      <c r="B223" s="72">
        <f>(8*30)/12</f>
        <v>20</v>
      </c>
      <c r="C223" s="69" t="s">
        <v>106</v>
      </c>
      <c r="D223" s="70">
        <v>135600</v>
      </c>
      <c r="E223" s="71">
        <v>150</v>
      </c>
      <c r="F223" s="71">
        <v>8</v>
      </c>
      <c r="G223" s="85">
        <v>8.3000000000000004E-2</v>
      </c>
      <c r="H223" s="74">
        <v>2.36</v>
      </c>
      <c r="I223" s="74">
        <v>2.84</v>
      </c>
      <c r="J223" s="74">
        <v>4.25</v>
      </c>
      <c r="K223" s="74">
        <v>0.8</v>
      </c>
      <c r="L223" s="74">
        <v>10.27</v>
      </c>
      <c r="M223" s="74">
        <v>10.26</v>
      </c>
      <c r="N223" s="74">
        <v>6.2</v>
      </c>
      <c r="O223" s="74">
        <v>26.73</v>
      </c>
      <c r="P223" s="72">
        <f t="shared" si="3"/>
        <v>12.048192771084336</v>
      </c>
    </row>
    <row r="224" spans="1:16" x14ac:dyDescent="0.25">
      <c r="A224" s="69" t="s">
        <v>333</v>
      </c>
      <c r="B224" s="72">
        <f>(12*30)/12</f>
        <v>30</v>
      </c>
      <c r="C224" s="69" t="s">
        <v>106</v>
      </c>
      <c r="D224" s="70">
        <v>173000</v>
      </c>
      <c r="E224" s="71">
        <v>150</v>
      </c>
      <c r="F224" s="71">
        <v>8</v>
      </c>
      <c r="G224" s="85">
        <v>5.5E-2</v>
      </c>
      <c r="H224" s="74">
        <v>1.57</v>
      </c>
      <c r="I224" s="74">
        <v>1.89</v>
      </c>
      <c r="J224" s="74">
        <v>3.61</v>
      </c>
      <c r="K224" s="74">
        <v>0.53</v>
      </c>
      <c r="L224" s="74">
        <v>7.61</v>
      </c>
      <c r="M224" s="74">
        <v>8.7100000000000009</v>
      </c>
      <c r="N224" s="74">
        <v>4.13</v>
      </c>
      <c r="O224" s="74">
        <v>20.46</v>
      </c>
      <c r="P224" s="72">
        <f t="shared" si="3"/>
        <v>18.181818181818183</v>
      </c>
    </row>
    <row r="225" spans="1:16" x14ac:dyDescent="0.25">
      <c r="A225" s="69" t="s">
        <v>334</v>
      </c>
      <c r="B225" s="72">
        <f>(8*38)/12</f>
        <v>25.333333333333332</v>
      </c>
      <c r="C225" s="69" t="s">
        <v>101</v>
      </c>
      <c r="D225" s="70">
        <v>82200</v>
      </c>
      <c r="E225" s="71">
        <v>150</v>
      </c>
      <c r="F225" s="71">
        <v>8</v>
      </c>
      <c r="G225" s="85">
        <v>7.6999999999999999E-2</v>
      </c>
      <c r="H225" s="74">
        <v>2.2000000000000002</v>
      </c>
      <c r="I225" s="74">
        <v>1.99</v>
      </c>
      <c r="J225" s="74">
        <v>2.39</v>
      </c>
      <c r="K225" s="74">
        <v>0.53</v>
      </c>
      <c r="L225" s="74">
        <v>7.12</v>
      </c>
      <c r="M225" s="74">
        <v>5.77</v>
      </c>
      <c r="N225" s="74">
        <v>4.0999999999999996</v>
      </c>
      <c r="O225" s="74">
        <v>16.989999999999998</v>
      </c>
      <c r="P225" s="72">
        <f t="shared" si="3"/>
        <v>12.987012987012987</v>
      </c>
    </row>
    <row r="226" spans="1:16" x14ac:dyDescent="0.25">
      <c r="A226" s="69" t="s">
        <v>335</v>
      </c>
      <c r="B226" s="72">
        <f>(8*38)/12</f>
        <v>25.333333333333332</v>
      </c>
      <c r="C226" s="69" t="s">
        <v>101</v>
      </c>
      <c r="D226" s="70">
        <v>153000</v>
      </c>
      <c r="E226" s="71">
        <v>150</v>
      </c>
      <c r="F226" s="71">
        <v>8</v>
      </c>
      <c r="G226" s="85">
        <v>5.0999999999999997E-2</v>
      </c>
      <c r="H226" s="74">
        <v>1.46</v>
      </c>
      <c r="I226" s="74">
        <v>1.32</v>
      </c>
      <c r="J226" s="74">
        <v>2.96</v>
      </c>
      <c r="K226" s="74">
        <v>0.35</v>
      </c>
      <c r="L226" s="74">
        <v>6.11</v>
      </c>
      <c r="M226" s="74">
        <v>7.15</v>
      </c>
      <c r="N226" s="74">
        <v>2.72</v>
      </c>
      <c r="O226" s="74">
        <v>16</v>
      </c>
      <c r="P226" s="72">
        <f t="shared" si="3"/>
        <v>19.607843137254903</v>
      </c>
    </row>
    <row r="227" spans="1:16" x14ac:dyDescent="0.25">
      <c r="A227" s="69" t="s">
        <v>336</v>
      </c>
      <c r="B227" s="72">
        <f>(12*20)/12</f>
        <v>20</v>
      </c>
      <c r="C227" s="69" t="s">
        <v>103</v>
      </c>
      <c r="D227" s="70">
        <v>77500</v>
      </c>
      <c r="E227" s="71">
        <v>150</v>
      </c>
      <c r="F227" s="71">
        <v>8</v>
      </c>
      <c r="G227" s="85">
        <v>9.8000000000000004E-2</v>
      </c>
      <c r="H227" s="74">
        <v>2.78</v>
      </c>
      <c r="I227" s="74">
        <v>2.82</v>
      </c>
      <c r="J227" s="74">
        <v>2.85</v>
      </c>
      <c r="K227" s="74">
        <v>0.86</v>
      </c>
      <c r="L227" s="74">
        <v>9.32</v>
      </c>
      <c r="M227" s="74">
        <v>6.88</v>
      </c>
      <c r="N227" s="74">
        <v>6.66</v>
      </c>
      <c r="O227" s="74">
        <v>22.88</v>
      </c>
      <c r="P227" s="72">
        <f t="shared" si="3"/>
        <v>10.204081632653061</v>
      </c>
    </row>
    <row r="228" spans="1:16" x14ac:dyDescent="0.25">
      <c r="A228" s="69" t="s">
        <v>337</v>
      </c>
      <c r="B228" s="72">
        <f>(12*30)/12</f>
        <v>30</v>
      </c>
      <c r="C228" s="69" t="s">
        <v>103</v>
      </c>
      <c r="D228" s="70">
        <v>129800</v>
      </c>
      <c r="E228" s="71">
        <v>150</v>
      </c>
      <c r="F228" s="71">
        <v>8</v>
      </c>
      <c r="G228" s="85">
        <v>6.5000000000000002E-2</v>
      </c>
      <c r="H228" s="74">
        <v>1.85</v>
      </c>
      <c r="I228" s="74">
        <v>1.88</v>
      </c>
      <c r="J228" s="74">
        <v>3.18</v>
      </c>
      <c r="K228" s="74">
        <v>0.56999999999999995</v>
      </c>
      <c r="L228" s="74">
        <v>7.5</v>
      </c>
      <c r="M228" s="74">
        <v>7.69</v>
      </c>
      <c r="N228" s="74">
        <v>4.4400000000000004</v>
      </c>
      <c r="O228" s="74">
        <v>19.64</v>
      </c>
      <c r="P228" s="72">
        <f t="shared" si="3"/>
        <v>15.384615384615383</v>
      </c>
    </row>
    <row r="229" spans="1:16" x14ac:dyDescent="0.25">
      <c r="A229" s="69" t="s">
        <v>338</v>
      </c>
      <c r="B229" s="72">
        <f>(12*38)/12</f>
        <v>38</v>
      </c>
      <c r="C229" s="69" t="s">
        <v>103</v>
      </c>
      <c r="D229" s="70">
        <v>153000</v>
      </c>
      <c r="E229" s="71">
        <v>150</v>
      </c>
      <c r="F229" s="71">
        <v>8</v>
      </c>
      <c r="G229" s="85">
        <v>5.0999999999999997E-2</v>
      </c>
      <c r="H229" s="74">
        <v>1.46</v>
      </c>
      <c r="I229" s="74">
        <v>1.48</v>
      </c>
      <c r="J229" s="74">
        <v>2.96</v>
      </c>
      <c r="K229" s="74">
        <v>0.45</v>
      </c>
      <c r="L229" s="74">
        <v>6.37</v>
      </c>
      <c r="M229" s="74">
        <v>7.15</v>
      </c>
      <c r="N229" s="74">
        <v>3.51</v>
      </c>
      <c r="O229" s="74">
        <v>17.04</v>
      </c>
      <c r="P229" s="72">
        <f t="shared" si="3"/>
        <v>19.607843137254903</v>
      </c>
    </row>
    <row r="230" spans="1:16" x14ac:dyDescent="0.25">
      <c r="A230" s="69" t="s">
        <v>339</v>
      </c>
      <c r="B230" s="72">
        <f>(16*30)/12</f>
        <v>40</v>
      </c>
      <c r="C230" s="69" t="s">
        <v>103</v>
      </c>
      <c r="D230" s="70">
        <v>210000</v>
      </c>
      <c r="E230" s="71">
        <v>150</v>
      </c>
      <c r="F230" s="71">
        <v>8</v>
      </c>
      <c r="G230" s="85">
        <v>4.9000000000000002E-2</v>
      </c>
      <c r="H230" s="74">
        <v>1.39</v>
      </c>
      <c r="I230" s="74">
        <v>1.41</v>
      </c>
      <c r="J230" s="74">
        <v>3.86</v>
      </c>
      <c r="K230" s="74">
        <v>0.43</v>
      </c>
      <c r="L230" s="74">
        <v>7.1</v>
      </c>
      <c r="M230" s="74">
        <v>9.33</v>
      </c>
      <c r="N230" s="74">
        <v>3.33</v>
      </c>
      <c r="O230" s="74">
        <v>19.77</v>
      </c>
      <c r="P230" s="72">
        <f t="shared" si="3"/>
        <v>20.408163265306122</v>
      </c>
    </row>
    <row r="231" spans="1:16" x14ac:dyDescent="0.25">
      <c r="A231" s="69" t="s">
        <v>340</v>
      </c>
      <c r="B231" s="72">
        <f>(23*15)/12</f>
        <v>28.75</v>
      </c>
      <c r="C231" s="69" t="s">
        <v>103</v>
      </c>
      <c r="D231" s="70">
        <v>207000</v>
      </c>
      <c r="E231" s="71">
        <v>150</v>
      </c>
      <c r="F231" s="71">
        <v>8</v>
      </c>
      <c r="G231" s="85">
        <v>6.8000000000000005E-2</v>
      </c>
      <c r="H231" s="74">
        <v>1.93</v>
      </c>
      <c r="I231" s="74">
        <v>1.96</v>
      </c>
      <c r="J231" s="74">
        <v>5.29</v>
      </c>
      <c r="K231" s="74">
        <v>0.59</v>
      </c>
      <c r="L231" s="74">
        <v>9.7799999999999994</v>
      </c>
      <c r="M231" s="74">
        <v>12.77</v>
      </c>
      <c r="N231" s="74">
        <v>4.63</v>
      </c>
      <c r="O231" s="74">
        <v>27.19</v>
      </c>
      <c r="P231" s="72">
        <f t="shared" si="3"/>
        <v>14.705882352941176</v>
      </c>
    </row>
    <row r="232" spans="1:16" x14ac:dyDescent="0.25">
      <c r="A232" s="69" t="s">
        <v>341</v>
      </c>
      <c r="B232" s="72">
        <f>(24*20)/12</f>
        <v>40</v>
      </c>
      <c r="C232" s="69" t="s">
        <v>103</v>
      </c>
      <c r="D232" s="70">
        <v>258000</v>
      </c>
      <c r="E232" s="71">
        <v>150</v>
      </c>
      <c r="F232" s="71">
        <v>8</v>
      </c>
      <c r="G232" s="85">
        <v>4.9000000000000002E-2</v>
      </c>
      <c r="H232" s="74">
        <v>1.39</v>
      </c>
      <c r="I232" s="74">
        <v>1.41</v>
      </c>
      <c r="J232" s="74">
        <v>4.75</v>
      </c>
      <c r="K232" s="74">
        <v>0.43</v>
      </c>
      <c r="L232" s="74">
        <v>7.98</v>
      </c>
      <c r="M232" s="74">
        <v>11.46</v>
      </c>
      <c r="N232" s="74">
        <v>3.33</v>
      </c>
      <c r="O232" s="74">
        <v>22.79</v>
      </c>
      <c r="P232" s="72">
        <f t="shared" si="3"/>
        <v>20.408163265306122</v>
      </c>
    </row>
    <row r="233" spans="1:16" x14ac:dyDescent="0.25">
      <c r="A233" s="69" t="s">
        <v>342</v>
      </c>
      <c r="B233" s="72">
        <f>(24*30)/12</f>
        <v>60</v>
      </c>
      <c r="C233" s="69" t="s">
        <v>103</v>
      </c>
      <c r="D233" s="70">
        <v>208000</v>
      </c>
      <c r="E233" s="71">
        <v>150</v>
      </c>
      <c r="F233" s="71">
        <v>8</v>
      </c>
      <c r="G233" s="85">
        <v>3.2000000000000001E-2</v>
      </c>
      <c r="H233" s="74">
        <v>0.92</v>
      </c>
      <c r="I233" s="74">
        <v>0.94</v>
      </c>
      <c r="J233" s="74">
        <v>2.5499999999999998</v>
      </c>
      <c r="K233" s="74">
        <v>0.28000000000000003</v>
      </c>
      <c r="L233" s="74">
        <v>4.71</v>
      </c>
      <c r="M233" s="74">
        <v>6.16</v>
      </c>
      <c r="N233" s="74">
        <v>2.2200000000000002</v>
      </c>
      <c r="O233" s="74">
        <v>13.09</v>
      </c>
      <c r="P233" s="72">
        <f t="shared" si="3"/>
        <v>31.25</v>
      </c>
    </row>
    <row r="234" spans="1:16" x14ac:dyDescent="0.25">
      <c r="A234" s="69" t="s">
        <v>343</v>
      </c>
      <c r="B234" s="72">
        <f>(31*15)/12</f>
        <v>38.75</v>
      </c>
      <c r="C234" s="69" t="s">
        <v>106</v>
      </c>
      <c r="D234" s="70">
        <v>256000</v>
      </c>
      <c r="E234" s="71">
        <v>150</v>
      </c>
      <c r="F234" s="71">
        <v>8</v>
      </c>
      <c r="G234" s="85">
        <v>0.05</v>
      </c>
      <c r="H234" s="74">
        <v>1.43</v>
      </c>
      <c r="I234" s="74">
        <v>1.72</v>
      </c>
      <c r="J234" s="74">
        <v>4.87</v>
      </c>
      <c r="K234" s="74">
        <v>0.48</v>
      </c>
      <c r="L234" s="74">
        <v>8.52</v>
      </c>
      <c r="M234" s="74">
        <v>11.76</v>
      </c>
      <c r="N234" s="74">
        <v>3.76</v>
      </c>
      <c r="O234" s="74">
        <v>24.05</v>
      </c>
      <c r="P234" s="72">
        <f t="shared" si="3"/>
        <v>20</v>
      </c>
    </row>
    <row r="235" spans="1:16" x14ac:dyDescent="0.25">
      <c r="A235" s="69" t="s">
        <v>344</v>
      </c>
      <c r="B235" s="72">
        <f>(32*15)/12</f>
        <v>40</v>
      </c>
      <c r="C235" s="69" t="s">
        <v>106</v>
      </c>
      <c r="D235" s="70">
        <v>261000</v>
      </c>
      <c r="E235" s="71">
        <v>150</v>
      </c>
      <c r="F235" s="71">
        <v>8</v>
      </c>
      <c r="G235" s="85">
        <v>4.9000000000000002E-2</v>
      </c>
      <c r="H235" s="74">
        <v>1.39</v>
      </c>
      <c r="I235" s="74">
        <v>1.67</v>
      </c>
      <c r="J235" s="74">
        <v>4.8</v>
      </c>
      <c r="K235" s="74">
        <v>0.47</v>
      </c>
      <c r="L235" s="74">
        <v>8.34</v>
      </c>
      <c r="M235" s="74">
        <v>11.6</v>
      </c>
      <c r="N235" s="74">
        <v>3.64</v>
      </c>
      <c r="O235" s="74">
        <v>23.58</v>
      </c>
      <c r="P235" s="72">
        <f t="shared" si="3"/>
        <v>20.408163265306122</v>
      </c>
    </row>
    <row r="236" spans="1:16" x14ac:dyDescent="0.25">
      <c r="A236" s="69" t="s">
        <v>345</v>
      </c>
      <c r="B236" s="72">
        <f>(4*30)/12</f>
        <v>10</v>
      </c>
      <c r="C236" s="69" t="s">
        <v>165</v>
      </c>
      <c r="D236" s="70">
        <v>37400</v>
      </c>
      <c r="E236" s="71">
        <v>150</v>
      </c>
      <c r="F236" s="71">
        <v>8</v>
      </c>
      <c r="G236" s="85">
        <v>0.19600000000000001</v>
      </c>
      <c r="H236" s="74">
        <v>5.56</v>
      </c>
      <c r="I236" s="74">
        <v>3.86</v>
      </c>
      <c r="J236" s="74">
        <v>2.75</v>
      </c>
      <c r="K236" s="74">
        <v>0.88</v>
      </c>
      <c r="L236" s="74">
        <v>13.07</v>
      </c>
      <c r="M236" s="74">
        <v>6.65</v>
      </c>
      <c r="N236" s="74">
        <v>6.63</v>
      </c>
      <c r="O236" s="74">
        <v>26.35</v>
      </c>
      <c r="P236" s="72">
        <f t="shared" si="3"/>
        <v>5.1020408163265305</v>
      </c>
    </row>
    <row r="237" spans="1:16" x14ac:dyDescent="0.25">
      <c r="A237" s="69" t="s">
        <v>346</v>
      </c>
      <c r="B237" s="72">
        <f>(4*38)/12</f>
        <v>12.666666666666666</v>
      </c>
      <c r="C237" s="69" t="s">
        <v>165</v>
      </c>
      <c r="D237" s="70">
        <v>32300</v>
      </c>
      <c r="E237" s="71">
        <v>150</v>
      </c>
      <c r="F237" s="71">
        <v>8</v>
      </c>
      <c r="G237" s="85">
        <v>0.154</v>
      </c>
      <c r="H237" s="74">
        <v>4.38</v>
      </c>
      <c r="I237" s="74">
        <v>3.04</v>
      </c>
      <c r="J237" s="74">
        <v>1.87</v>
      </c>
      <c r="K237" s="74">
        <v>0.69</v>
      </c>
      <c r="L237" s="74">
        <v>9.99</v>
      </c>
      <c r="M237" s="74">
        <v>4.5199999999999996</v>
      </c>
      <c r="N237" s="74">
        <v>5.22</v>
      </c>
      <c r="O237" s="74">
        <v>19.739999999999998</v>
      </c>
      <c r="P237" s="72">
        <f t="shared" si="3"/>
        <v>6.4935064935064934</v>
      </c>
    </row>
    <row r="238" spans="1:16" x14ac:dyDescent="0.25">
      <c r="A238" s="69" t="s">
        <v>347</v>
      </c>
      <c r="B238" s="72">
        <f>(6*30)/12</f>
        <v>15</v>
      </c>
      <c r="C238" s="69" t="s">
        <v>99</v>
      </c>
      <c r="D238" s="70">
        <v>46800</v>
      </c>
      <c r="E238" s="71">
        <v>150</v>
      </c>
      <c r="F238" s="71">
        <v>8</v>
      </c>
      <c r="G238" s="85">
        <v>0.13</v>
      </c>
      <c r="H238" s="74">
        <v>3.71</v>
      </c>
      <c r="I238" s="74">
        <v>2.97</v>
      </c>
      <c r="J238" s="74">
        <v>2.29</v>
      </c>
      <c r="K238" s="74">
        <v>0.79</v>
      </c>
      <c r="L238" s="74">
        <v>9.77</v>
      </c>
      <c r="M238" s="74">
        <v>5.54</v>
      </c>
      <c r="N238" s="74">
        <v>5.94</v>
      </c>
      <c r="O238" s="74">
        <v>21.26</v>
      </c>
      <c r="P238" s="72">
        <f t="shared" si="3"/>
        <v>7.6923076923076916</v>
      </c>
    </row>
    <row r="239" spans="1:16" x14ac:dyDescent="0.25">
      <c r="A239" s="69" t="s">
        <v>348</v>
      </c>
      <c r="B239" s="72">
        <f>(6*38)/12</f>
        <v>19</v>
      </c>
      <c r="C239" s="69" t="s">
        <v>99</v>
      </c>
      <c r="D239" s="70">
        <v>42900</v>
      </c>
      <c r="E239" s="71">
        <v>150</v>
      </c>
      <c r="F239" s="71">
        <v>8</v>
      </c>
      <c r="G239" s="85">
        <v>0.10299999999999999</v>
      </c>
      <c r="H239" s="74">
        <v>2.92</v>
      </c>
      <c r="I239" s="74">
        <v>2.34</v>
      </c>
      <c r="J239" s="74">
        <v>1.66</v>
      </c>
      <c r="K239" s="74">
        <v>0.62</v>
      </c>
      <c r="L239" s="74">
        <v>7.56</v>
      </c>
      <c r="M239" s="74">
        <v>4.01</v>
      </c>
      <c r="N239" s="74">
        <v>4.6900000000000004</v>
      </c>
      <c r="O239" s="74">
        <v>16.27</v>
      </c>
      <c r="P239" s="72">
        <f t="shared" si="3"/>
        <v>9.7087378640776709</v>
      </c>
    </row>
    <row r="240" spans="1:16" x14ac:dyDescent="0.25">
      <c r="A240" s="69" t="s">
        <v>349</v>
      </c>
      <c r="B240" s="72">
        <f>(8*30)/12</f>
        <v>20</v>
      </c>
      <c r="C240" s="69" t="s">
        <v>101</v>
      </c>
      <c r="D240" s="70">
        <v>63300</v>
      </c>
      <c r="E240" s="71">
        <v>150</v>
      </c>
      <c r="F240" s="71">
        <v>8</v>
      </c>
      <c r="G240" s="85">
        <v>9.8000000000000004E-2</v>
      </c>
      <c r="H240" s="74">
        <v>2.78</v>
      </c>
      <c r="I240" s="74">
        <v>2.52</v>
      </c>
      <c r="J240" s="74">
        <v>2.33</v>
      </c>
      <c r="K240" s="74">
        <v>0.67</v>
      </c>
      <c r="L240" s="74">
        <v>8.31</v>
      </c>
      <c r="M240" s="74">
        <v>5.62</v>
      </c>
      <c r="N240" s="74">
        <v>5.18</v>
      </c>
      <c r="O240" s="74">
        <v>19.12</v>
      </c>
      <c r="P240" s="72">
        <f t="shared" si="3"/>
        <v>10.204081632653061</v>
      </c>
    </row>
    <row r="241" spans="1:16" x14ac:dyDescent="0.25">
      <c r="A241" s="69" t="s">
        <v>350</v>
      </c>
      <c r="B241" s="72">
        <f>(8*38)/12</f>
        <v>25.333333333333332</v>
      </c>
      <c r="C241" s="69" t="s">
        <v>101</v>
      </c>
      <c r="D241" s="70">
        <v>59700</v>
      </c>
      <c r="E241" s="71">
        <v>150</v>
      </c>
      <c r="F241" s="71">
        <v>8</v>
      </c>
      <c r="G241" s="85">
        <v>7.6999999999999999E-2</v>
      </c>
      <c r="H241" s="74">
        <v>2.2000000000000002</v>
      </c>
      <c r="I241" s="74">
        <v>1.99</v>
      </c>
      <c r="J241" s="74">
        <v>1.73</v>
      </c>
      <c r="K241" s="74">
        <v>0.53</v>
      </c>
      <c r="L241" s="74">
        <v>6.46</v>
      </c>
      <c r="M241" s="74">
        <v>4.1900000000000004</v>
      </c>
      <c r="N241" s="74">
        <v>4.0999999999999996</v>
      </c>
      <c r="O241" s="74">
        <v>14.76</v>
      </c>
      <c r="P241" s="72">
        <f t="shared" si="3"/>
        <v>12.987012987012987</v>
      </c>
    </row>
    <row r="242" spans="1:16" x14ac:dyDescent="0.25">
      <c r="A242" s="69" t="s">
        <v>351</v>
      </c>
      <c r="B242" s="72">
        <f>(11*15)/12</f>
        <v>13.75</v>
      </c>
      <c r="C242" s="69" t="s">
        <v>101</v>
      </c>
      <c r="D242" s="70">
        <v>65000</v>
      </c>
      <c r="E242" s="71">
        <v>150</v>
      </c>
      <c r="F242" s="71">
        <v>8</v>
      </c>
      <c r="G242" s="85">
        <v>0.13300000000000001</v>
      </c>
      <c r="H242" s="74">
        <v>3.78</v>
      </c>
      <c r="I242" s="74">
        <v>3.43</v>
      </c>
      <c r="J242" s="74">
        <v>3.25</v>
      </c>
      <c r="K242" s="74">
        <v>0.91</v>
      </c>
      <c r="L242" s="74">
        <v>11.39</v>
      </c>
      <c r="M242" s="74">
        <v>7.86</v>
      </c>
      <c r="N242" s="74">
        <v>7.05</v>
      </c>
      <c r="O242" s="74">
        <v>26.31</v>
      </c>
      <c r="P242" s="72">
        <f t="shared" si="3"/>
        <v>7.518796992481203</v>
      </c>
    </row>
    <row r="243" spans="1:16" x14ac:dyDescent="0.25">
      <c r="A243" s="69" t="s">
        <v>352</v>
      </c>
      <c r="B243" s="72">
        <f>(11*20)/12</f>
        <v>18.333333333333332</v>
      </c>
      <c r="C243" s="69" t="s">
        <v>101</v>
      </c>
      <c r="D243" s="70">
        <v>69700</v>
      </c>
      <c r="E243" s="71">
        <v>150</v>
      </c>
      <c r="F243" s="71">
        <v>8</v>
      </c>
      <c r="G243" s="85">
        <v>0.107</v>
      </c>
      <c r="H243" s="74">
        <v>3.04</v>
      </c>
      <c r="I243" s="74">
        <v>2.76</v>
      </c>
      <c r="J243" s="74">
        <v>2.8</v>
      </c>
      <c r="K243" s="74">
        <v>0.73</v>
      </c>
      <c r="L243" s="74">
        <v>9.34</v>
      </c>
      <c r="M243" s="74">
        <v>6.77</v>
      </c>
      <c r="N243" s="74">
        <v>5.66</v>
      </c>
      <c r="O243" s="74">
        <v>21.78</v>
      </c>
      <c r="P243" s="72">
        <f t="shared" si="3"/>
        <v>9.3457943925233646</v>
      </c>
    </row>
    <row r="244" spans="1:16" x14ac:dyDescent="0.25">
      <c r="A244" s="69" t="s">
        <v>353</v>
      </c>
      <c r="B244" s="72">
        <f>(12*20)/12</f>
        <v>20</v>
      </c>
      <c r="C244" s="69" t="s">
        <v>103</v>
      </c>
      <c r="D244" s="70">
        <v>74700</v>
      </c>
      <c r="E244" s="71">
        <v>150</v>
      </c>
      <c r="F244" s="71">
        <v>8</v>
      </c>
      <c r="G244" s="85">
        <v>9.8000000000000004E-2</v>
      </c>
      <c r="H244" s="74">
        <v>2.78</v>
      </c>
      <c r="I244" s="74">
        <v>2.82</v>
      </c>
      <c r="J244" s="74">
        <v>2.75</v>
      </c>
      <c r="K244" s="74">
        <v>0.86</v>
      </c>
      <c r="L244" s="74">
        <v>9.2200000000000006</v>
      </c>
      <c r="M244" s="74">
        <v>6.64</v>
      </c>
      <c r="N244" s="74">
        <v>6.66</v>
      </c>
      <c r="O244" s="74">
        <v>22.53</v>
      </c>
      <c r="P244" s="72">
        <f t="shared" si="3"/>
        <v>10.204081632653061</v>
      </c>
    </row>
    <row r="245" spans="1:16" x14ac:dyDescent="0.25">
      <c r="A245" s="69" t="s">
        <v>354</v>
      </c>
      <c r="B245" s="72">
        <f>(12*30)/12</f>
        <v>30</v>
      </c>
      <c r="C245" s="69" t="s">
        <v>103</v>
      </c>
      <c r="D245" s="70">
        <v>90000</v>
      </c>
      <c r="E245" s="71">
        <v>150</v>
      </c>
      <c r="F245" s="71">
        <v>8</v>
      </c>
      <c r="G245" s="85">
        <v>6.5000000000000002E-2</v>
      </c>
      <c r="H245" s="74">
        <v>1.85</v>
      </c>
      <c r="I245" s="74">
        <v>1.88</v>
      </c>
      <c r="J245" s="74">
        <v>2.2000000000000002</v>
      </c>
      <c r="K245" s="74">
        <v>0.56999999999999995</v>
      </c>
      <c r="L245" s="74">
        <v>6.52</v>
      </c>
      <c r="M245" s="74">
        <v>5.33</v>
      </c>
      <c r="N245" s="74">
        <v>4.4400000000000004</v>
      </c>
      <c r="O245" s="74">
        <v>16.3</v>
      </c>
      <c r="P245" s="72">
        <f t="shared" si="3"/>
        <v>15.384615384615383</v>
      </c>
    </row>
    <row r="246" spans="1:16" x14ac:dyDescent="0.25">
      <c r="A246" s="69" t="s">
        <v>355</v>
      </c>
      <c r="B246" s="72">
        <f>(15*15)/12</f>
        <v>18.75</v>
      </c>
      <c r="C246" s="69" t="s">
        <v>103</v>
      </c>
      <c r="D246" s="70">
        <v>88600</v>
      </c>
      <c r="E246" s="71">
        <v>150</v>
      </c>
      <c r="F246" s="71">
        <v>8</v>
      </c>
      <c r="G246" s="85">
        <v>0.105</v>
      </c>
      <c r="H246" s="74">
        <v>2.97</v>
      </c>
      <c r="I246" s="74">
        <v>3.02</v>
      </c>
      <c r="J246" s="74">
        <v>3.48</v>
      </c>
      <c r="K246" s="74">
        <v>0.92</v>
      </c>
      <c r="L246" s="74">
        <v>10.4</v>
      </c>
      <c r="M246" s="74">
        <v>8.42</v>
      </c>
      <c r="N246" s="74">
        <v>7.13</v>
      </c>
      <c r="O246" s="74">
        <v>25.96</v>
      </c>
      <c r="P246" s="72">
        <f t="shared" si="3"/>
        <v>9.5238095238095237</v>
      </c>
    </row>
    <row r="247" spans="1:16" x14ac:dyDescent="0.25">
      <c r="A247" s="69" t="s">
        <v>356</v>
      </c>
      <c r="B247" s="72">
        <f>(8*30)/12</f>
        <v>20</v>
      </c>
      <c r="C247" s="69" t="s">
        <v>106</v>
      </c>
      <c r="D247" s="70">
        <v>130000</v>
      </c>
      <c r="E247" s="71">
        <v>150</v>
      </c>
      <c r="F247" s="71">
        <v>8</v>
      </c>
      <c r="G247" s="85">
        <v>7.6999999999999999E-2</v>
      </c>
      <c r="H247" s="74">
        <v>2.2000000000000002</v>
      </c>
      <c r="I247" s="74">
        <v>2.64</v>
      </c>
      <c r="J247" s="74">
        <v>3.78</v>
      </c>
      <c r="K247" s="74">
        <v>0.74</v>
      </c>
      <c r="L247" s="74">
        <v>9.3699999999999992</v>
      </c>
      <c r="M247" s="74">
        <v>9.1300000000000008</v>
      </c>
      <c r="N247" s="74">
        <v>5.76</v>
      </c>
      <c r="O247" s="74">
        <v>24.27</v>
      </c>
      <c r="P247" s="72">
        <f t="shared" si="3"/>
        <v>12.987012987012987</v>
      </c>
    </row>
    <row r="248" spans="1:16" x14ac:dyDescent="0.25">
      <c r="A248" s="69" t="s">
        <v>357</v>
      </c>
      <c r="B248" s="72">
        <f>(12*30)/12</f>
        <v>30</v>
      </c>
      <c r="C248" s="69" t="s">
        <v>106</v>
      </c>
      <c r="D248" s="70">
        <v>163000</v>
      </c>
      <c r="E248" s="71">
        <v>150</v>
      </c>
      <c r="F248" s="71">
        <v>8</v>
      </c>
      <c r="G248" s="85">
        <v>5.0999999999999997E-2</v>
      </c>
      <c r="H248" s="74">
        <v>1.46</v>
      </c>
      <c r="I248" s="74">
        <v>1.75</v>
      </c>
      <c r="J248" s="74">
        <v>3.15</v>
      </c>
      <c r="K248" s="74">
        <v>0.49</v>
      </c>
      <c r="L248" s="74">
        <v>6.88</v>
      </c>
      <c r="M248" s="74">
        <v>7.62</v>
      </c>
      <c r="N248" s="74">
        <v>3.83</v>
      </c>
      <c r="O248" s="74">
        <v>18.34</v>
      </c>
      <c r="P248" s="72">
        <f t="shared" si="3"/>
        <v>19.607843137254903</v>
      </c>
    </row>
    <row r="249" spans="1:16" x14ac:dyDescent="0.25">
      <c r="A249" s="62" t="s">
        <v>358</v>
      </c>
      <c r="B249" s="65">
        <f>(6*38)/12</f>
        <v>19</v>
      </c>
      <c r="C249" s="62" t="s">
        <v>103</v>
      </c>
      <c r="D249" s="63">
        <v>15200</v>
      </c>
      <c r="E249" s="64">
        <v>300</v>
      </c>
      <c r="F249" s="64">
        <v>20</v>
      </c>
      <c r="G249" s="84">
        <v>0.1</v>
      </c>
      <c r="H249" s="67">
        <v>1.92</v>
      </c>
      <c r="I249" s="67">
        <v>2.87</v>
      </c>
      <c r="J249" s="67">
        <v>0.25</v>
      </c>
      <c r="K249" s="67">
        <v>0.87</v>
      </c>
      <c r="L249" s="67">
        <v>5.93</v>
      </c>
      <c r="M249" s="67">
        <v>0.51</v>
      </c>
      <c r="N249" s="67">
        <v>6.79</v>
      </c>
      <c r="O249" s="67">
        <v>13.24</v>
      </c>
      <c r="P249" s="65">
        <f t="shared" si="3"/>
        <v>10</v>
      </c>
    </row>
    <row r="250" spans="1:16" x14ac:dyDescent="0.25">
      <c r="A250" s="62" t="s">
        <v>359</v>
      </c>
      <c r="B250" s="65">
        <f>(6*38)/12</f>
        <v>19</v>
      </c>
      <c r="C250" s="62" t="s">
        <v>103</v>
      </c>
      <c r="D250" s="63">
        <v>25700</v>
      </c>
      <c r="E250" s="64">
        <v>300</v>
      </c>
      <c r="F250" s="64">
        <v>20</v>
      </c>
      <c r="G250" s="84">
        <v>0.1</v>
      </c>
      <c r="H250" s="67">
        <v>1.92</v>
      </c>
      <c r="I250" s="67">
        <v>2.87</v>
      </c>
      <c r="J250" s="67">
        <v>0.51</v>
      </c>
      <c r="K250" s="67">
        <v>0.87</v>
      </c>
      <c r="L250" s="67">
        <v>6.19</v>
      </c>
      <c r="M250" s="67">
        <v>0.81</v>
      </c>
      <c r="N250" s="67">
        <v>6.79</v>
      </c>
      <c r="O250" s="67">
        <v>13.8</v>
      </c>
      <c r="P250" s="65">
        <f t="shared" si="3"/>
        <v>10</v>
      </c>
    </row>
    <row r="251" spans="1:16" x14ac:dyDescent="0.25">
      <c r="A251" s="69" t="s">
        <v>360</v>
      </c>
      <c r="B251" s="72">
        <f>(4*30)/12</f>
        <v>10</v>
      </c>
      <c r="C251" s="69" t="s">
        <v>103</v>
      </c>
      <c r="D251" s="70">
        <v>41800</v>
      </c>
      <c r="E251" s="71">
        <v>300</v>
      </c>
      <c r="F251" s="71">
        <v>15</v>
      </c>
      <c r="G251" s="85">
        <v>0.23499999999999999</v>
      </c>
      <c r="H251" s="74">
        <v>4.54</v>
      </c>
      <c r="I251" s="74">
        <v>6.78</v>
      </c>
      <c r="J251" s="74">
        <v>2.4500000000000002</v>
      </c>
      <c r="K251" s="74">
        <v>2.0699999999999998</v>
      </c>
      <c r="L251" s="74">
        <v>15.85</v>
      </c>
      <c r="M251" s="74">
        <v>3.78</v>
      </c>
      <c r="N251" s="74">
        <v>16.010000000000002</v>
      </c>
      <c r="O251" s="74">
        <v>35.65</v>
      </c>
      <c r="P251" s="72">
        <f t="shared" si="3"/>
        <v>4.2553191489361701</v>
      </c>
    </row>
    <row r="252" spans="1:16" x14ac:dyDescent="0.25">
      <c r="A252" s="69" t="s">
        <v>361</v>
      </c>
      <c r="B252" s="72">
        <f>(4*38)/12</f>
        <v>12.666666666666666</v>
      </c>
      <c r="C252" s="69" t="s">
        <v>103</v>
      </c>
      <c r="D252" s="70">
        <v>41800</v>
      </c>
      <c r="E252" s="71">
        <v>300</v>
      </c>
      <c r="F252" s="71">
        <v>15</v>
      </c>
      <c r="G252" s="85">
        <v>0.186</v>
      </c>
      <c r="H252" s="74">
        <v>3.59</v>
      </c>
      <c r="I252" s="74">
        <v>5.35</v>
      </c>
      <c r="J252" s="74">
        <v>1.93</v>
      </c>
      <c r="K252" s="74">
        <v>1.63</v>
      </c>
      <c r="L252" s="74">
        <v>12.51</v>
      </c>
      <c r="M252" s="74">
        <v>2.98</v>
      </c>
      <c r="N252" s="74">
        <v>12.64</v>
      </c>
      <c r="O252" s="74">
        <v>28.15</v>
      </c>
      <c r="P252" s="72">
        <f t="shared" si="3"/>
        <v>5.376344086021505</v>
      </c>
    </row>
    <row r="253" spans="1:16" x14ac:dyDescent="0.25">
      <c r="A253" s="69" t="s">
        <v>362</v>
      </c>
      <c r="B253" s="72">
        <f>(6*38)/12</f>
        <v>19</v>
      </c>
      <c r="C253" s="69" t="s">
        <v>103</v>
      </c>
      <c r="D253" s="70">
        <v>66700</v>
      </c>
      <c r="E253" s="71">
        <v>300</v>
      </c>
      <c r="F253" s="71">
        <v>15</v>
      </c>
      <c r="G253" s="85">
        <v>0.124</v>
      </c>
      <c r="H253" s="74">
        <v>2.39</v>
      </c>
      <c r="I253" s="74">
        <v>3.56</v>
      </c>
      <c r="J253" s="74">
        <v>1.45</v>
      </c>
      <c r="K253" s="74">
        <v>1.08</v>
      </c>
      <c r="L253" s="74">
        <v>8.5</v>
      </c>
      <c r="M253" s="74">
        <v>3.17</v>
      </c>
      <c r="N253" s="74">
        <v>8.42</v>
      </c>
      <c r="O253" s="74">
        <v>20.100000000000001</v>
      </c>
      <c r="P253" s="72">
        <f t="shared" si="3"/>
        <v>8.064516129032258</v>
      </c>
    </row>
    <row r="254" spans="1:16" x14ac:dyDescent="0.25">
      <c r="A254" s="62" t="s">
        <v>363</v>
      </c>
      <c r="B254" s="65">
        <f>(6*38)/12</f>
        <v>19</v>
      </c>
      <c r="C254" s="62" t="s">
        <v>103</v>
      </c>
      <c r="D254" s="63">
        <v>70900</v>
      </c>
      <c r="E254" s="64">
        <v>300</v>
      </c>
      <c r="F254" s="64">
        <v>20</v>
      </c>
      <c r="G254" s="84">
        <v>0.31</v>
      </c>
      <c r="H254" s="67">
        <v>5.97</v>
      </c>
      <c r="I254" s="67">
        <v>8.91</v>
      </c>
      <c r="J254" s="67">
        <v>1.28</v>
      </c>
      <c r="K254" s="67">
        <v>2.72</v>
      </c>
      <c r="L254" s="67">
        <v>18.89</v>
      </c>
      <c r="M254" s="67">
        <v>7.28</v>
      </c>
      <c r="N254" s="67">
        <v>21.05</v>
      </c>
      <c r="O254" s="67">
        <v>47.23</v>
      </c>
      <c r="P254" s="65">
        <f t="shared" si="3"/>
        <v>3.2258064516129035</v>
      </c>
    </row>
    <row r="255" spans="1:16" x14ac:dyDescent="0.25">
      <c r="A255" s="69" t="s">
        <v>364</v>
      </c>
      <c r="B255" s="72">
        <f>(4*30)/12</f>
        <v>10</v>
      </c>
      <c r="C255" s="69" t="s">
        <v>106</v>
      </c>
      <c r="D255" s="70">
        <v>181000</v>
      </c>
      <c r="E255" s="71">
        <v>300</v>
      </c>
      <c r="F255" s="71">
        <v>20</v>
      </c>
      <c r="G255" s="85">
        <v>0.84899999999999998</v>
      </c>
      <c r="H255" s="74">
        <v>16.38</v>
      </c>
      <c r="I255" s="74">
        <v>28.94</v>
      </c>
      <c r="J255" s="74">
        <v>8.7100000000000009</v>
      </c>
      <c r="K255" s="74">
        <v>8.15</v>
      </c>
      <c r="L255" s="74">
        <v>62.2</v>
      </c>
      <c r="M255" s="74">
        <v>48.89</v>
      </c>
      <c r="N255" s="74">
        <v>63.06</v>
      </c>
      <c r="O255" s="74">
        <v>174.16</v>
      </c>
      <c r="P255" s="72">
        <f t="shared" si="3"/>
        <v>1.1778563015312131</v>
      </c>
    </row>
    <row r="256" spans="1:16" x14ac:dyDescent="0.25">
      <c r="A256" s="69" t="s">
        <v>365</v>
      </c>
      <c r="B256" s="72">
        <f>(4*38)/12</f>
        <v>12.666666666666666</v>
      </c>
      <c r="C256" s="69" t="s">
        <v>106</v>
      </c>
      <c r="D256" s="70">
        <v>181000</v>
      </c>
      <c r="E256" s="71">
        <v>300</v>
      </c>
      <c r="F256" s="71">
        <v>20</v>
      </c>
      <c r="G256" s="85">
        <v>0.93400000000000005</v>
      </c>
      <c r="H256" s="74">
        <v>18.010000000000002</v>
      </c>
      <c r="I256" s="74">
        <v>31.82</v>
      </c>
      <c r="J256" s="74">
        <v>9.58</v>
      </c>
      <c r="K256" s="74">
        <v>8.9600000000000009</v>
      </c>
      <c r="L256" s="74">
        <v>68.39</v>
      </c>
      <c r="M256" s="74">
        <v>54.92</v>
      </c>
      <c r="N256" s="74">
        <v>69.34</v>
      </c>
      <c r="O256" s="74">
        <v>192.65</v>
      </c>
      <c r="P256" s="72">
        <f t="shared" si="3"/>
        <v>1.070663811563169</v>
      </c>
    </row>
    <row r="257" spans="1:16" x14ac:dyDescent="0.25">
      <c r="A257" s="69" t="s">
        <v>366</v>
      </c>
      <c r="B257" s="72">
        <f>(6*38)/12</f>
        <v>19</v>
      </c>
      <c r="C257" s="69" t="s">
        <v>106</v>
      </c>
      <c r="D257" s="70">
        <v>197000</v>
      </c>
      <c r="E257" s="71">
        <v>300</v>
      </c>
      <c r="F257" s="71">
        <v>20</v>
      </c>
      <c r="G257" s="85">
        <v>0.625</v>
      </c>
      <c r="H257" s="74">
        <v>12.05</v>
      </c>
      <c r="I257" s="74">
        <v>21.28</v>
      </c>
      <c r="J257" s="74">
        <v>5.95</v>
      </c>
      <c r="K257" s="74">
        <v>5.99</v>
      </c>
      <c r="L257" s="74">
        <v>45.27</v>
      </c>
      <c r="M257" s="74">
        <v>39.97</v>
      </c>
      <c r="N257" s="74">
        <v>46.37</v>
      </c>
      <c r="O257" s="74">
        <v>131.62</v>
      </c>
      <c r="P257" s="72">
        <f t="shared" si="3"/>
        <v>1.6</v>
      </c>
    </row>
    <row r="258" spans="1:16" x14ac:dyDescent="0.25">
      <c r="A258" s="62" t="s">
        <v>367</v>
      </c>
      <c r="B258" s="65">
        <f>(6*38)/12</f>
        <v>19</v>
      </c>
      <c r="C258" s="62" t="s">
        <v>106</v>
      </c>
      <c r="D258" s="63">
        <v>10100</v>
      </c>
      <c r="E258" s="64">
        <v>300</v>
      </c>
      <c r="F258" s="64">
        <v>20</v>
      </c>
      <c r="G258" s="84">
        <v>0.1</v>
      </c>
      <c r="H258" s="67">
        <v>1.92</v>
      </c>
      <c r="I258" s="67">
        <v>3.4</v>
      </c>
      <c r="J258" s="67">
        <v>0.2</v>
      </c>
      <c r="K258" s="67">
        <v>0.95</v>
      </c>
      <c r="L258" s="67">
        <v>6.5</v>
      </c>
      <c r="M258" s="67">
        <v>0.32</v>
      </c>
      <c r="N258" s="67">
        <v>7.41</v>
      </c>
      <c r="O258" s="67">
        <v>14.24</v>
      </c>
      <c r="P258" s="65">
        <f t="shared" si="3"/>
        <v>10</v>
      </c>
    </row>
    <row r="259" spans="1:16" x14ac:dyDescent="0.25">
      <c r="A259" s="69" t="s">
        <v>368</v>
      </c>
      <c r="B259" s="72">
        <f>(12*38)/12</f>
        <v>38</v>
      </c>
      <c r="C259" s="69" t="s">
        <v>103</v>
      </c>
      <c r="D259" s="70">
        <v>147000</v>
      </c>
      <c r="E259" s="71">
        <v>150</v>
      </c>
      <c r="F259" s="71">
        <v>8</v>
      </c>
      <c r="G259" s="85">
        <v>0.08</v>
      </c>
      <c r="H259" s="74">
        <v>2.27</v>
      </c>
      <c r="I259" s="74">
        <v>2.31</v>
      </c>
      <c r="J259" s="74">
        <v>4.43</v>
      </c>
      <c r="K259" s="74">
        <v>0.7</v>
      </c>
      <c r="L259" s="74">
        <v>9.7200000000000006</v>
      </c>
      <c r="M259" s="74">
        <v>10.69</v>
      </c>
      <c r="N259" s="74">
        <v>5.46</v>
      </c>
      <c r="O259" s="74">
        <v>25.89</v>
      </c>
      <c r="P259" s="72">
        <f t="shared" si="3"/>
        <v>12.5</v>
      </c>
    </row>
    <row r="260" spans="1:16" x14ac:dyDescent="0.25">
      <c r="A260" s="69" t="s">
        <v>369</v>
      </c>
      <c r="B260" s="72">
        <f>(8*30)/12</f>
        <v>20</v>
      </c>
      <c r="C260" s="69" t="s">
        <v>103</v>
      </c>
      <c r="D260" s="70">
        <v>61200</v>
      </c>
      <c r="E260" s="71">
        <v>150</v>
      </c>
      <c r="F260" s="71">
        <v>8</v>
      </c>
      <c r="G260" s="85">
        <v>0.152</v>
      </c>
      <c r="H260" s="74">
        <v>4.32</v>
      </c>
      <c r="I260" s="74">
        <v>4.3899999999999997</v>
      </c>
      <c r="J260" s="74">
        <v>3.5</v>
      </c>
      <c r="K260" s="74">
        <v>1.34</v>
      </c>
      <c r="L260" s="74">
        <v>13.57</v>
      </c>
      <c r="M260" s="74">
        <v>8.4600000000000009</v>
      </c>
      <c r="N260" s="74">
        <v>10.37</v>
      </c>
      <c r="O260" s="74">
        <v>32.409999999999997</v>
      </c>
      <c r="P260" s="72">
        <f t="shared" si="3"/>
        <v>6.5789473684210531</v>
      </c>
    </row>
    <row r="261" spans="1:16" x14ac:dyDescent="0.25">
      <c r="A261" s="69" t="s">
        <v>370</v>
      </c>
      <c r="B261" s="72">
        <f>(8*38)/12</f>
        <v>25.333333333333332</v>
      </c>
      <c r="C261" s="69" t="s">
        <v>103</v>
      </c>
      <c r="D261" s="70">
        <v>57700</v>
      </c>
      <c r="E261" s="71">
        <v>150</v>
      </c>
      <c r="F261" s="71">
        <v>8</v>
      </c>
      <c r="G261" s="85">
        <v>0.12</v>
      </c>
      <c r="H261" s="74">
        <v>3.42</v>
      </c>
      <c r="I261" s="74">
        <v>3.47</v>
      </c>
      <c r="J261" s="74">
        <v>2.61</v>
      </c>
      <c r="K261" s="74">
        <v>1.06</v>
      </c>
      <c r="L261" s="74">
        <v>10.56</v>
      </c>
      <c r="M261" s="74">
        <v>6.3</v>
      </c>
      <c r="N261" s="74">
        <v>8.1999999999999993</v>
      </c>
      <c r="O261" s="74">
        <v>25.07</v>
      </c>
      <c r="P261" s="72">
        <f t="shared" ref="P261:P324" si="4">1/G261</f>
        <v>8.3333333333333339</v>
      </c>
    </row>
    <row r="262" spans="1:16" x14ac:dyDescent="0.25">
      <c r="A262" s="69" t="s">
        <v>371</v>
      </c>
      <c r="B262" s="72">
        <f>(8*30)/12</f>
        <v>20</v>
      </c>
      <c r="C262" s="69" t="s">
        <v>103</v>
      </c>
      <c r="D262" s="70">
        <v>127000</v>
      </c>
      <c r="E262" s="71">
        <v>150</v>
      </c>
      <c r="F262" s="71">
        <v>8</v>
      </c>
      <c r="G262" s="85">
        <v>0.12</v>
      </c>
      <c r="H262" s="74">
        <v>3.42</v>
      </c>
      <c r="I262" s="74">
        <v>3.47</v>
      </c>
      <c r="J262" s="74">
        <v>5.75</v>
      </c>
      <c r="K262" s="74">
        <v>1.06</v>
      </c>
      <c r="L262" s="74">
        <v>13.7</v>
      </c>
      <c r="M262" s="74">
        <v>13.88</v>
      </c>
      <c r="N262" s="74">
        <v>8.1999999999999993</v>
      </c>
      <c r="O262" s="74">
        <v>35.79</v>
      </c>
      <c r="P262" s="72">
        <f t="shared" si="4"/>
        <v>8.3333333333333339</v>
      </c>
    </row>
    <row r="263" spans="1:16" x14ac:dyDescent="0.25">
      <c r="A263" s="62" t="s">
        <v>372</v>
      </c>
      <c r="B263" s="86" t="s">
        <v>204</v>
      </c>
      <c r="C263" s="62" t="s">
        <v>165</v>
      </c>
      <c r="D263" s="63">
        <v>6480</v>
      </c>
      <c r="E263" s="64">
        <v>15</v>
      </c>
      <c r="F263" s="64">
        <v>12</v>
      </c>
      <c r="G263" s="84">
        <v>3.0000000000000001E-3</v>
      </c>
      <c r="H263" s="67">
        <v>0.11</v>
      </c>
      <c r="I263" s="67">
        <v>0.06</v>
      </c>
      <c r="J263" s="67">
        <v>0.01</v>
      </c>
      <c r="K263" s="67">
        <v>0.01</v>
      </c>
      <c r="L263" s="67">
        <v>0.2</v>
      </c>
      <c r="M263" s="67">
        <v>0.16</v>
      </c>
      <c r="N263" s="67">
        <v>0.1</v>
      </c>
      <c r="O263" s="67">
        <v>0.47</v>
      </c>
      <c r="P263" s="65">
        <f t="shared" si="4"/>
        <v>333.33333333333331</v>
      </c>
    </row>
    <row r="264" spans="1:16" x14ac:dyDescent="0.25">
      <c r="A264" s="69" t="s">
        <v>373</v>
      </c>
      <c r="B264" s="72">
        <v>30</v>
      </c>
      <c r="C264" s="69" t="s">
        <v>165</v>
      </c>
      <c r="D264" s="70">
        <v>2200</v>
      </c>
      <c r="E264" s="71">
        <v>100</v>
      </c>
      <c r="F264" s="71">
        <v>15</v>
      </c>
      <c r="G264" s="85">
        <v>3.0000000000000001E-3</v>
      </c>
      <c r="H264" s="74">
        <v>0.2</v>
      </c>
      <c r="I264" s="74">
        <v>7.0000000000000007E-2</v>
      </c>
      <c r="J264" s="74">
        <v>0</v>
      </c>
      <c r="K264" s="74">
        <v>0.01</v>
      </c>
      <c r="L264" s="74">
        <v>0.3</v>
      </c>
      <c r="M264" s="74">
        <v>0</v>
      </c>
      <c r="N264" s="74">
        <v>0.12</v>
      </c>
      <c r="O264" s="74">
        <v>0.43</v>
      </c>
      <c r="P264" s="72">
        <f t="shared" si="4"/>
        <v>333.33333333333331</v>
      </c>
    </row>
    <row r="265" spans="1:16" x14ac:dyDescent="0.25">
      <c r="A265" s="62" t="s">
        <v>374</v>
      </c>
      <c r="B265" s="65">
        <f>(8*38)/12</f>
        <v>25.333333333333332</v>
      </c>
      <c r="C265" s="62" t="s">
        <v>101</v>
      </c>
      <c r="D265" s="63">
        <v>80200</v>
      </c>
      <c r="E265" s="64">
        <v>150</v>
      </c>
      <c r="F265" s="64">
        <v>8</v>
      </c>
      <c r="G265" s="84">
        <v>0.08</v>
      </c>
      <c r="H265" s="67">
        <v>2.27</v>
      </c>
      <c r="I265" s="67">
        <v>2.06</v>
      </c>
      <c r="J265" s="67">
        <v>2.41</v>
      </c>
      <c r="K265" s="67">
        <v>0.54</v>
      </c>
      <c r="L265" s="67">
        <v>7.3</v>
      </c>
      <c r="M265" s="67">
        <v>5.82</v>
      </c>
      <c r="N265" s="67">
        <v>4.2300000000000004</v>
      </c>
      <c r="O265" s="67">
        <v>17.36</v>
      </c>
      <c r="P265" s="65">
        <f t="shared" si="4"/>
        <v>12.5</v>
      </c>
    </row>
    <row r="266" spans="1:16" x14ac:dyDescent="0.25">
      <c r="A266" s="62" t="s">
        <v>375</v>
      </c>
      <c r="B266" s="65">
        <f>(8*38)/12</f>
        <v>25.333333333333332</v>
      </c>
      <c r="C266" s="62" t="s">
        <v>101</v>
      </c>
      <c r="D266" s="63">
        <v>147000</v>
      </c>
      <c r="E266" s="64">
        <v>150</v>
      </c>
      <c r="F266" s="64">
        <v>8</v>
      </c>
      <c r="G266" s="84">
        <v>5.2999999999999999E-2</v>
      </c>
      <c r="H266" s="67">
        <v>1.51</v>
      </c>
      <c r="I266" s="67">
        <v>1.37</v>
      </c>
      <c r="J266" s="67">
        <v>2.94</v>
      </c>
      <c r="K266" s="67">
        <v>0.36</v>
      </c>
      <c r="L266" s="67">
        <v>6.2</v>
      </c>
      <c r="M266" s="67">
        <v>7.11</v>
      </c>
      <c r="N266" s="67">
        <v>2.82</v>
      </c>
      <c r="O266" s="67">
        <v>16.13</v>
      </c>
      <c r="P266" s="65">
        <f t="shared" si="4"/>
        <v>18.867924528301888</v>
      </c>
    </row>
    <row r="267" spans="1:16" x14ac:dyDescent="0.25">
      <c r="A267" s="62" t="s">
        <v>376</v>
      </c>
      <c r="B267" s="65">
        <f>(12*20)/12</f>
        <v>20</v>
      </c>
      <c r="C267" s="62" t="s">
        <v>103</v>
      </c>
      <c r="D267" s="63">
        <v>70600</v>
      </c>
      <c r="E267" s="64">
        <v>150</v>
      </c>
      <c r="F267" s="64">
        <v>8</v>
      </c>
      <c r="G267" s="84">
        <v>0.10100000000000001</v>
      </c>
      <c r="H267" s="67">
        <v>2.87</v>
      </c>
      <c r="I267" s="67">
        <v>2.91</v>
      </c>
      <c r="J267" s="67">
        <v>2.68</v>
      </c>
      <c r="K267" s="67">
        <v>0.89</v>
      </c>
      <c r="L267" s="67">
        <v>9.3699999999999992</v>
      </c>
      <c r="M267" s="67">
        <v>6.48</v>
      </c>
      <c r="N267" s="67">
        <v>6.89</v>
      </c>
      <c r="O267" s="67">
        <v>22.76</v>
      </c>
      <c r="P267" s="65">
        <f t="shared" si="4"/>
        <v>9.9009900990099009</v>
      </c>
    </row>
    <row r="268" spans="1:16" x14ac:dyDescent="0.25">
      <c r="A268" s="62" t="s">
        <v>377</v>
      </c>
      <c r="B268" s="65">
        <f>(12*30)/12</f>
        <v>30</v>
      </c>
      <c r="C268" s="62" t="s">
        <v>103</v>
      </c>
      <c r="D268" s="63">
        <v>123600</v>
      </c>
      <c r="E268" s="64">
        <v>150</v>
      </c>
      <c r="F268" s="64">
        <v>8</v>
      </c>
      <c r="G268" s="84">
        <v>6.7000000000000004E-2</v>
      </c>
      <c r="H268" s="67">
        <v>1.91</v>
      </c>
      <c r="I268" s="67">
        <v>1.94</v>
      </c>
      <c r="J268" s="67">
        <v>3.13</v>
      </c>
      <c r="K268" s="67">
        <v>0.59</v>
      </c>
      <c r="L268" s="67">
        <v>7.59</v>
      </c>
      <c r="M268" s="67">
        <v>7.57</v>
      </c>
      <c r="N268" s="67">
        <v>4.59</v>
      </c>
      <c r="O268" s="67">
        <v>19.760000000000002</v>
      </c>
      <c r="P268" s="65">
        <f t="shared" si="4"/>
        <v>14.925373134328357</v>
      </c>
    </row>
    <row r="269" spans="1:16" x14ac:dyDescent="0.25">
      <c r="A269" s="62" t="s">
        <v>378</v>
      </c>
      <c r="B269" s="65">
        <f>(12*38)/12</f>
        <v>38</v>
      </c>
      <c r="C269" s="62" t="s">
        <v>103</v>
      </c>
      <c r="D269" s="63">
        <v>147000</v>
      </c>
      <c r="E269" s="64">
        <v>150</v>
      </c>
      <c r="F269" s="64">
        <v>8</v>
      </c>
      <c r="G269" s="84">
        <v>5.2999999999999999E-2</v>
      </c>
      <c r="H269" s="67">
        <v>1.51</v>
      </c>
      <c r="I269" s="67">
        <v>1.53</v>
      </c>
      <c r="J269" s="67">
        <v>2.94</v>
      </c>
      <c r="K269" s="67">
        <v>0.46</v>
      </c>
      <c r="L269" s="67">
        <v>6.46</v>
      </c>
      <c r="M269" s="67">
        <v>7.11</v>
      </c>
      <c r="N269" s="67">
        <v>3.62</v>
      </c>
      <c r="O269" s="67">
        <v>17.2</v>
      </c>
      <c r="P269" s="65">
        <f t="shared" si="4"/>
        <v>18.867924528301888</v>
      </c>
    </row>
    <row r="270" spans="1:16" x14ac:dyDescent="0.25">
      <c r="A270" s="62" t="s">
        <v>379</v>
      </c>
      <c r="B270" s="65">
        <f>(16*30)/12</f>
        <v>40</v>
      </c>
      <c r="C270" s="62" t="s">
        <v>103</v>
      </c>
      <c r="D270" s="63">
        <v>200000</v>
      </c>
      <c r="E270" s="64">
        <v>150</v>
      </c>
      <c r="F270" s="64">
        <v>8</v>
      </c>
      <c r="G270" s="84">
        <v>0.05</v>
      </c>
      <c r="H270" s="67">
        <v>1.43</v>
      </c>
      <c r="I270" s="67">
        <v>1.45</v>
      </c>
      <c r="J270" s="67">
        <v>3.8</v>
      </c>
      <c r="K270" s="67">
        <v>0.44</v>
      </c>
      <c r="L270" s="67">
        <v>7.15</v>
      </c>
      <c r="M270" s="67">
        <v>9.19</v>
      </c>
      <c r="N270" s="67">
        <v>3.44</v>
      </c>
      <c r="O270" s="67">
        <v>19.79</v>
      </c>
      <c r="P270" s="65">
        <f t="shared" si="4"/>
        <v>20</v>
      </c>
    </row>
    <row r="271" spans="1:16" x14ac:dyDescent="0.25">
      <c r="A271" s="62" t="s">
        <v>380</v>
      </c>
      <c r="B271" s="65">
        <f>(23*15)/12</f>
        <v>28.75</v>
      </c>
      <c r="C271" s="62" t="s">
        <v>103</v>
      </c>
      <c r="D271" s="63">
        <v>194000</v>
      </c>
      <c r="E271" s="64">
        <v>150</v>
      </c>
      <c r="F271" s="64">
        <v>8</v>
      </c>
      <c r="G271" s="84">
        <v>7.0000000000000007E-2</v>
      </c>
      <c r="H271" s="67">
        <v>1.99</v>
      </c>
      <c r="I271" s="67">
        <v>2.02</v>
      </c>
      <c r="J271" s="67">
        <v>5.12</v>
      </c>
      <c r="K271" s="67">
        <v>0.61</v>
      </c>
      <c r="L271" s="67">
        <v>9.77</v>
      </c>
      <c r="M271" s="67">
        <v>12.38</v>
      </c>
      <c r="N271" s="67">
        <v>4.78</v>
      </c>
      <c r="O271" s="67">
        <v>26.94</v>
      </c>
      <c r="P271" s="65">
        <f t="shared" si="4"/>
        <v>14.285714285714285</v>
      </c>
    </row>
    <row r="272" spans="1:16" x14ac:dyDescent="0.25">
      <c r="A272" s="62" t="s">
        <v>381</v>
      </c>
      <c r="B272" s="65">
        <f>(24*20)/12</f>
        <v>40</v>
      </c>
      <c r="C272" s="62" t="s">
        <v>103</v>
      </c>
      <c r="D272" s="63">
        <v>244000</v>
      </c>
      <c r="E272" s="64">
        <v>150</v>
      </c>
      <c r="F272" s="64">
        <v>8</v>
      </c>
      <c r="G272" s="84">
        <v>0.05</v>
      </c>
      <c r="H272" s="67">
        <v>1.43</v>
      </c>
      <c r="I272" s="67">
        <v>1.45</v>
      </c>
      <c r="J272" s="67">
        <v>4.6399999999999997</v>
      </c>
      <c r="K272" s="67">
        <v>0.44</v>
      </c>
      <c r="L272" s="67">
        <v>7.98</v>
      </c>
      <c r="M272" s="67">
        <v>11.21</v>
      </c>
      <c r="N272" s="67">
        <v>3.44</v>
      </c>
      <c r="O272" s="67">
        <v>22.65</v>
      </c>
      <c r="P272" s="65">
        <f t="shared" si="4"/>
        <v>20</v>
      </c>
    </row>
    <row r="273" spans="1:16" x14ac:dyDescent="0.25">
      <c r="A273" s="62" t="s">
        <v>382</v>
      </c>
      <c r="B273" s="65">
        <f>(24*30)/12</f>
        <v>60</v>
      </c>
      <c r="C273" s="62" t="s">
        <v>103</v>
      </c>
      <c r="D273" s="63">
        <v>202000</v>
      </c>
      <c r="E273" s="64">
        <v>150</v>
      </c>
      <c r="F273" s="64">
        <v>8</v>
      </c>
      <c r="G273" s="84">
        <v>3.3000000000000002E-2</v>
      </c>
      <c r="H273" s="67">
        <v>0.95</v>
      </c>
      <c r="I273" s="67">
        <v>0.97</v>
      </c>
      <c r="J273" s="67">
        <v>2.56</v>
      </c>
      <c r="K273" s="67">
        <v>0.28999999999999998</v>
      </c>
      <c r="L273" s="67">
        <v>4.79</v>
      </c>
      <c r="M273" s="67">
        <v>6.18</v>
      </c>
      <c r="N273" s="67">
        <v>2.29</v>
      </c>
      <c r="O273" s="67">
        <v>13.28</v>
      </c>
      <c r="P273" s="65">
        <f t="shared" si="4"/>
        <v>30.303030303030301</v>
      </c>
    </row>
    <row r="274" spans="1:16" x14ac:dyDescent="0.25">
      <c r="A274" s="62" t="s">
        <v>383</v>
      </c>
      <c r="B274" s="65">
        <f>(31*15)/12</f>
        <v>38.75</v>
      </c>
      <c r="C274" s="62" t="s">
        <v>106</v>
      </c>
      <c r="D274" s="63">
        <v>235000</v>
      </c>
      <c r="E274" s="64">
        <v>150</v>
      </c>
      <c r="F274" s="64">
        <v>8</v>
      </c>
      <c r="G274" s="84">
        <v>5.1999999999999998E-2</v>
      </c>
      <c r="H274" s="67">
        <v>1.48</v>
      </c>
      <c r="I274" s="67">
        <v>1.78</v>
      </c>
      <c r="J274" s="67">
        <v>4.62</v>
      </c>
      <c r="K274" s="67">
        <v>0.5</v>
      </c>
      <c r="L274" s="67">
        <v>8.4</v>
      </c>
      <c r="M274" s="67">
        <v>11.16</v>
      </c>
      <c r="N274" s="67">
        <v>3.89</v>
      </c>
      <c r="O274" s="67">
        <v>23.45</v>
      </c>
      <c r="P274" s="65">
        <f t="shared" si="4"/>
        <v>19.23076923076923</v>
      </c>
    </row>
    <row r="275" spans="1:16" x14ac:dyDescent="0.25">
      <c r="A275" s="62" t="s">
        <v>384</v>
      </c>
      <c r="B275" s="65">
        <f>(32*15)/12</f>
        <v>40</v>
      </c>
      <c r="C275" s="62" t="s">
        <v>106</v>
      </c>
      <c r="D275" s="63">
        <v>239000</v>
      </c>
      <c r="E275" s="64">
        <v>150</v>
      </c>
      <c r="F275" s="64">
        <v>8</v>
      </c>
      <c r="G275" s="84">
        <v>0.05</v>
      </c>
      <c r="H275" s="67">
        <v>1.43</v>
      </c>
      <c r="I275" s="67">
        <v>1.72</v>
      </c>
      <c r="J275" s="67">
        <v>4.55</v>
      </c>
      <c r="K275" s="67">
        <v>0.48</v>
      </c>
      <c r="L275" s="67">
        <v>8.1999999999999993</v>
      </c>
      <c r="M275" s="67">
        <v>10.98</v>
      </c>
      <c r="N275" s="67">
        <v>3.76</v>
      </c>
      <c r="O275" s="67">
        <v>22.95</v>
      </c>
      <c r="P275" s="65">
        <f t="shared" si="4"/>
        <v>20</v>
      </c>
    </row>
    <row r="276" spans="1:16" x14ac:dyDescent="0.25">
      <c r="A276" s="62" t="s">
        <v>385</v>
      </c>
      <c r="B276" s="65">
        <f>(4*30)/12</f>
        <v>10</v>
      </c>
      <c r="C276" s="62" t="s">
        <v>165</v>
      </c>
      <c r="D276" s="63">
        <v>39500</v>
      </c>
      <c r="E276" s="64">
        <v>150</v>
      </c>
      <c r="F276" s="64">
        <v>8</v>
      </c>
      <c r="G276" s="84">
        <v>0.20300000000000001</v>
      </c>
      <c r="H276" s="67">
        <v>5.75</v>
      </c>
      <c r="I276" s="67">
        <v>3.99</v>
      </c>
      <c r="J276" s="67">
        <v>3</v>
      </c>
      <c r="K276" s="67">
        <v>0.91</v>
      </c>
      <c r="L276" s="67">
        <v>13.67</v>
      </c>
      <c r="M276" s="67">
        <v>7.26</v>
      </c>
      <c r="N276" s="67">
        <v>6.85</v>
      </c>
      <c r="O276" s="67">
        <v>27.79</v>
      </c>
      <c r="P276" s="65">
        <f t="shared" si="4"/>
        <v>4.9261083743842358</v>
      </c>
    </row>
    <row r="277" spans="1:16" x14ac:dyDescent="0.25">
      <c r="A277" s="62" t="s">
        <v>386</v>
      </c>
      <c r="B277" s="65">
        <f>(4*38)/12</f>
        <v>12.666666666666666</v>
      </c>
      <c r="C277" s="62" t="s">
        <v>165</v>
      </c>
      <c r="D277" s="63">
        <v>34300</v>
      </c>
      <c r="E277" s="64">
        <v>150</v>
      </c>
      <c r="F277" s="64">
        <v>8</v>
      </c>
      <c r="G277" s="84">
        <v>0.159</v>
      </c>
      <c r="H277" s="67">
        <v>4.53</v>
      </c>
      <c r="I277" s="67">
        <v>3.14</v>
      </c>
      <c r="J277" s="67">
        <v>2.0499999999999998</v>
      </c>
      <c r="K277" s="67">
        <v>0.72</v>
      </c>
      <c r="L277" s="67">
        <v>10.45</v>
      </c>
      <c r="M277" s="67">
        <v>4.96</v>
      </c>
      <c r="N277" s="67">
        <v>5.39</v>
      </c>
      <c r="O277" s="67">
        <v>20.81</v>
      </c>
      <c r="P277" s="65">
        <f t="shared" si="4"/>
        <v>6.2893081761006284</v>
      </c>
    </row>
    <row r="278" spans="1:16" x14ac:dyDescent="0.25">
      <c r="A278" s="62" t="s">
        <v>387</v>
      </c>
      <c r="B278" s="65">
        <f>(6*30)/12</f>
        <v>15</v>
      </c>
      <c r="C278" s="62" t="s">
        <v>99</v>
      </c>
      <c r="D278" s="63">
        <v>46800</v>
      </c>
      <c r="E278" s="64">
        <v>150</v>
      </c>
      <c r="F278" s="64">
        <v>8</v>
      </c>
      <c r="G278" s="84">
        <v>0.13500000000000001</v>
      </c>
      <c r="H278" s="67">
        <v>3.83</v>
      </c>
      <c r="I278" s="67">
        <v>3.07</v>
      </c>
      <c r="J278" s="67">
        <v>2.37</v>
      </c>
      <c r="K278" s="67">
        <v>0.82</v>
      </c>
      <c r="L278" s="67">
        <v>10.1</v>
      </c>
      <c r="M278" s="67">
        <v>5.73</v>
      </c>
      <c r="N278" s="67">
        <v>6.14</v>
      </c>
      <c r="O278" s="67">
        <v>21.98</v>
      </c>
      <c r="P278" s="65">
        <f t="shared" si="4"/>
        <v>7.4074074074074066</v>
      </c>
    </row>
    <row r="279" spans="1:16" x14ac:dyDescent="0.25">
      <c r="A279" s="62" t="s">
        <v>388</v>
      </c>
      <c r="B279" s="65">
        <f>(6*38)/12</f>
        <v>19</v>
      </c>
      <c r="C279" s="62" t="s">
        <v>99</v>
      </c>
      <c r="D279" s="63">
        <v>42800</v>
      </c>
      <c r="E279" s="64">
        <v>150</v>
      </c>
      <c r="F279" s="64">
        <v>8</v>
      </c>
      <c r="G279" s="84">
        <v>0.106</v>
      </c>
      <c r="H279" s="67">
        <v>3.02</v>
      </c>
      <c r="I279" s="67">
        <v>2.42</v>
      </c>
      <c r="J279" s="67">
        <v>1.71</v>
      </c>
      <c r="K279" s="67">
        <v>0.64</v>
      </c>
      <c r="L279" s="67">
        <v>7.81</v>
      </c>
      <c r="M279" s="67">
        <v>4.1399999999999997</v>
      </c>
      <c r="N279" s="67">
        <v>4.84</v>
      </c>
      <c r="O279" s="67">
        <v>16.8</v>
      </c>
      <c r="P279" s="65">
        <f t="shared" si="4"/>
        <v>9.433962264150944</v>
      </c>
    </row>
    <row r="280" spans="1:16" x14ac:dyDescent="0.25">
      <c r="A280" s="62" t="s">
        <v>389</v>
      </c>
      <c r="B280" s="65">
        <f>(8*30)/12</f>
        <v>20</v>
      </c>
      <c r="C280" s="62" t="s">
        <v>101</v>
      </c>
      <c r="D280" s="63">
        <v>61200</v>
      </c>
      <c r="E280" s="64">
        <v>150</v>
      </c>
      <c r="F280" s="64">
        <v>8</v>
      </c>
      <c r="G280" s="84">
        <v>0.10100000000000001</v>
      </c>
      <c r="H280" s="67">
        <v>2.87</v>
      </c>
      <c r="I280" s="67">
        <v>2.61</v>
      </c>
      <c r="J280" s="67">
        <v>2.33</v>
      </c>
      <c r="K280" s="67">
        <v>0.69</v>
      </c>
      <c r="L280" s="67">
        <v>8.51</v>
      </c>
      <c r="M280" s="67">
        <v>5.62</v>
      </c>
      <c r="N280" s="67">
        <v>5.36</v>
      </c>
      <c r="O280" s="67">
        <v>19.5</v>
      </c>
      <c r="P280" s="65">
        <f t="shared" si="4"/>
        <v>9.9009900990099009</v>
      </c>
    </row>
    <row r="281" spans="1:16" x14ac:dyDescent="0.25">
      <c r="A281" s="62" t="s">
        <v>390</v>
      </c>
      <c r="B281" s="65">
        <f>(8*38)/12</f>
        <v>25.333333333333332</v>
      </c>
      <c r="C281" s="62" t="s">
        <v>101</v>
      </c>
      <c r="D281" s="63">
        <v>57700</v>
      </c>
      <c r="E281" s="64">
        <v>150</v>
      </c>
      <c r="F281" s="64">
        <v>8</v>
      </c>
      <c r="G281" s="84">
        <v>0.08</v>
      </c>
      <c r="H281" s="67">
        <v>2.27</v>
      </c>
      <c r="I281" s="67">
        <v>2.06</v>
      </c>
      <c r="J281" s="67">
        <v>1.73</v>
      </c>
      <c r="K281" s="67">
        <v>0.54</v>
      </c>
      <c r="L281" s="67">
        <v>6.62</v>
      </c>
      <c r="M281" s="67">
        <v>4.1900000000000004</v>
      </c>
      <c r="N281" s="67">
        <v>4.2300000000000004</v>
      </c>
      <c r="O281" s="67">
        <v>15.05</v>
      </c>
      <c r="P281" s="65">
        <f t="shared" si="4"/>
        <v>12.5</v>
      </c>
    </row>
    <row r="282" spans="1:16" x14ac:dyDescent="0.25">
      <c r="A282" s="62" t="s">
        <v>391</v>
      </c>
      <c r="B282" s="65">
        <f>(11*15)/12</f>
        <v>13.75</v>
      </c>
      <c r="C282" s="62" t="s">
        <v>101</v>
      </c>
      <c r="D282" s="63">
        <v>59900</v>
      </c>
      <c r="E282" s="64">
        <v>150</v>
      </c>
      <c r="F282" s="64">
        <v>8</v>
      </c>
      <c r="G282" s="84">
        <v>0.14799999999999999</v>
      </c>
      <c r="H282" s="67">
        <v>4.2</v>
      </c>
      <c r="I282" s="67">
        <v>3.81</v>
      </c>
      <c r="J282" s="67">
        <v>3.32</v>
      </c>
      <c r="K282" s="67">
        <v>1.01</v>
      </c>
      <c r="L282" s="67">
        <v>12.35</v>
      </c>
      <c r="M282" s="67">
        <v>8.0299999999999994</v>
      </c>
      <c r="N282" s="67">
        <v>7.82</v>
      </c>
      <c r="O282" s="67">
        <v>28.22</v>
      </c>
      <c r="P282" s="65">
        <f t="shared" si="4"/>
        <v>6.756756756756757</v>
      </c>
    </row>
    <row r="283" spans="1:16" x14ac:dyDescent="0.25">
      <c r="A283" s="62" t="s">
        <v>392</v>
      </c>
      <c r="B283" s="65">
        <f>(11*20)/12</f>
        <v>18.333333333333332</v>
      </c>
      <c r="C283" s="62" t="s">
        <v>101</v>
      </c>
      <c r="D283" s="63">
        <v>64600</v>
      </c>
      <c r="E283" s="64">
        <v>150</v>
      </c>
      <c r="F283" s="64">
        <v>8</v>
      </c>
      <c r="G283" s="84">
        <v>0.11</v>
      </c>
      <c r="H283" s="67">
        <v>3.14</v>
      </c>
      <c r="I283" s="67">
        <v>2.85</v>
      </c>
      <c r="J283" s="67">
        <v>2.68</v>
      </c>
      <c r="K283" s="67">
        <v>0.75</v>
      </c>
      <c r="L283" s="67">
        <v>9.44</v>
      </c>
      <c r="M283" s="67">
        <v>6.48</v>
      </c>
      <c r="N283" s="67">
        <v>5.86</v>
      </c>
      <c r="O283" s="67">
        <v>21.79</v>
      </c>
      <c r="P283" s="65">
        <f t="shared" si="4"/>
        <v>9.0909090909090917</v>
      </c>
    </row>
    <row r="284" spans="1:16" x14ac:dyDescent="0.25">
      <c r="A284" s="62" t="s">
        <v>393</v>
      </c>
      <c r="B284" s="65">
        <f>(12*20)/12</f>
        <v>20</v>
      </c>
      <c r="C284" s="62" t="s">
        <v>103</v>
      </c>
      <c r="D284" s="63">
        <v>68600</v>
      </c>
      <c r="E284" s="64">
        <v>150</v>
      </c>
      <c r="F284" s="64">
        <v>8</v>
      </c>
      <c r="G284" s="84">
        <v>0.10100000000000001</v>
      </c>
      <c r="H284" s="67">
        <v>2.87</v>
      </c>
      <c r="I284" s="67">
        <v>2.91</v>
      </c>
      <c r="J284" s="67">
        <v>2.61</v>
      </c>
      <c r="K284" s="67">
        <v>0.89</v>
      </c>
      <c r="L284" s="67">
        <v>9.3000000000000007</v>
      </c>
      <c r="M284" s="67">
        <v>6.3</v>
      </c>
      <c r="N284" s="67">
        <v>6.89</v>
      </c>
      <c r="O284" s="67">
        <v>22.5</v>
      </c>
      <c r="P284" s="65">
        <f t="shared" si="4"/>
        <v>9.9009900990099009</v>
      </c>
    </row>
    <row r="285" spans="1:16" x14ac:dyDescent="0.25">
      <c r="A285" s="62" t="s">
        <v>394</v>
      </c>
      <c r="B285" s="65">
        <f>(12*30)/12</f>
        <v>30</v>
      </c>
      <c r="C285" s="62" t="s">
        <v>103</v>
      </c>
      <c r="D285" s="63">
        <v>88100</v>
      </c>
      <c r="E285" s="64">
        <v>150</v>
      </c>
      <c r="F285" s="64">
        <v>8</v>
      </c>
      <c r="G285" s="84">
        <v>6.7000000000000004E-2</v>
      </c>
      <c r="H285" s="67">
        <v>1.91</v>
      </c>
      <c r="I285" s="67">
        <v>1.94</v>
      </c>
      <c r="J285" s="67">
        <v>2.23</v>
      </c>
      <c r="K285" s="67">
        <v>0.59</v>
      </c>
      <c r="L285" s="67">
        <v>6.69</v>
      </c>
      <c r="M285" s="67">
        <v>5.39</v>
      </c>
      <c r="N285" s="67">
        <v>4.59</v>
      </c>
      <c r="O285" s="67">
        <v>16.690000000000001</v>
      </c>
      <c r="P285" s="65">
        <f t="shared" si="4"/>
        <v>14.925373134328357</v>
      </c>
    </row>
    <row r="286" spans="1:16" x14ac:dyDescent="0.25">
      <c r="A286" s="62" t="s">
        <v>395</v>
      </c>
      <c r="B286" s="65">
        <f>(15*15)/12</f>
        <v>18.75</v>
      </c>
      <c r="C286" s="62" t="s">
        <v>103</v>
      </c>
      <c r="D286" s="63">
        <v>83600</v>
      </c>
      <c r="E286" s="64">
        <v>150</v>
      </c>
      <c r="F286" s="64">
        <v>8</v>
      </c>
      <c r="G286" s="84">
        <v>0.108</v>
      </c>
      <c r="H286" s="67">
        <v>3.07</v>
      </c>
      <c r="I286" s="67">
        <v>3.12</v>
      </c>
      <c r="J286" s="67">
        <v>3.4</v>
      </c>
      <c r="K286" s="67">
        <v>0.95</v>
      </c>
      <c r="L286" s="67">
        <v>10.55</v>
      </c>
      <c r="M286" s="67">
        <v>8.2100000000000009</v>
      </c>
      <c r="N286" s="67">
        <v>7.37</v>
      </c>
      <c r="O286" s="67">
        <v>26.15</v>
      </c>
      <c r="P286" s="65">
        <f t="shared" si="4"/>
        <v>9.2592592592592595</v>
      </c>
    </row>
    <row r="287" spans="1:16" x14ac:dyDescent="0.25">
      <c r="A287" s="62" t="s">
        <v>396</v>
      </c>
      <c r="B287" s="65">
        <f>(8*30)/12</f>
        <v>20</v>
      </c>
      <c r="C287" s="62" t="s">
        <v>106</v>
      </c>
      <c r="D287" s="63">
        <v>127000</v>
      </c>
      <c r="E287" s="64">
        <v>150</v>
      </c>
      <c r="F287" s="64">
        <v>8</v>
      </c>
      <c r="G287" s="84">
        <v>0.08</v>
      </c>
      <c r="H287" s="67">
        <v>2.27</v>
      </c>
      <c r="I287" s="67">
        <v>2.73</v>
      </c>
      <c r="J287" s="67">
        <v>3.82</v>
      </c>
      <c r="K287" s="67">
        <v>0.77</v>
      </c>
      <c r="L287" s="67">
        <v>9.6</v>
      </c>
      <c r="M287" s="67">
        <v>9.2200000000000006</v>
      </c>
      <c r="N287" s="67">
        <v>5.95</v>
      </c>
      <c r="O287" s="67">
        <v>24.78</v>
      </c>
      <c r="P287" s="65">
        <f t="shared" si="4"/>
        <v>12.5</v>
      </c>
    </row>
    <row r="288" spans="1:16" x14ac:dyDescent="0.25">
      <c r="A288" s="62" t="s">
        <v>397</v>
      </c>
      <c r="B288" s="65">
        <f>(12*30)/12</f>
        <v>30</v>
      </c>
      <c r="C288" s="62" t="s">
        <v>106</v>
      </c>
      <c r="D288" s="63">
        <v>161000</v>
      </c>
      <c r="E288" s="64">
        <v>150</v>
      </c>
      <c r="F288" s="64">
        <v>8</v>
      </c>
      <c r="G288" s="84">
        <v>5.2999999999999999E-2</v>
      </c>
      <c r="H288" s="67">
        <v>1.51</v>
      </c>
      <c r="I288" s="67">
        <v>1.81</v>
      </c>
      <c r="J288" s="67">
        <v>3.22</v>
      </c>
      <c r="K288" s="67">
        <v>0.51</v>
      </c>
      <c r="L288" s="67">
        <v>7.07</v>
      </c>
      <c r="M288" s="67">
        <v>7.78</v>
      </c>
      <c r="N288" s="67">
        <v>3.96</v>
      </c>
      <c r="O288" s="67">
        <v>18.82</v>
      </c>
      <c r="P288" s="65">
        <f t="shared" si="4"/>
        <v>18.867924528301888</v>
      </c>
    </row>
    <row r="289" spans="1:16" x14ac:dyDescent="0.25">
      <c r="A289" s="62" t="s">
        <v>398</v>
      </c>
      <c r="B289" s="65">
        <f>(8*38)/12</f>
        <v>25.333333333333332</v>
      </c>
      <c r="C289" s="62" t="s">
        <v>101</v>
      </c>
      <c r="D289" s="63">
        <v>74100</v>
      </c>
      <c r="E289" s="64">
        <v>150</v>
      </c>
      <c r="F289" s="64">
        <v>8</v>
      </c>
      <c r="G289" s="84">
        <v>7.3999999999999996E-2</v>
      </c>
      <c r="H289" s="67">
        <v>2.11</v>
      </c>
      <c r="I289" s="67">
        <v>1.91</v>
      </c>
      <c r="J289" s="67">
        <v>2.0699999999999998</v>
      </c>
      <c r="K289" s="67">
        <v>0.5</v>
      </c>
      <c r="L289" s="67">
        <v>6.6</v>
      </c>
      <c r="M289" s="67">
        <v>4.99</v>
      </c>
      <c r="N289" s="67">
        <v>3.93</v>
      </c>
      <c r="O289" s="67">
        <v>15.54</v>
      </c>
      <c r="P289" s="65">
        <f t="shared" si="4"/>
        <v>13.513513513513514</v>
      </c>
    </row>
    <row r="290" spans="1:16" x14ac:dyDescent="0.25">
      <c r="A290" s="62" t="s">
        <v>399</v>
      </c>
      <c r="B290" s="65">
        <f>(8*38)/12</f>
        <v>25.333333333333332</v>
      </c>
      <c r="C290" s="62" t="s">
        <v>101</v>
      </c>
      <c r="D290" s="63">
        <v>140000</v>
      </c>
      <c r="E290" s="64">
        <v>150</v>
      </c>
      <c r="F290" s="64">
        <v>8</v>
      </c>
      <c r="G290" s="84">
        <v>4.9000000000000002E-2</v>
      </c>
      <c r="H290" s="67">
        <v>1.4</v>
      </c>
      <c r="I290" s="67">
        <v>1.27</v>
      </c>
      <c r="J290" s="67">
        <v>2.6</v>
      </c>
      <c r="K290" s="67">
        <v>0.33</v>
      </c>
      <c r="L290" s="67">
        <v>5.62</v>
      </c>
      <c r="M290" s="67">
        <v>6.28</v>
      </c>
      <c r="N290" s="67">
        <v>2.62</v>
      </c>
      <c r="O290" s="67">
        <v>14.53</v>
      </c>
      <c r="P290" s="65">
        <f t="shared" si="4"/>
        <v>20.408163265306122</v>
      </c>
    </row>
    <row r="291" spans="1:16" x14ac:dyDescent="0.25">
      <c r="A291" s="62" t="s">
        <v>400</v>
      </c>
      <c r="B291" s="65">
        <f>(12*20)/12</f>
        <v>20</v>
      </c>
      <c r="C291" s="62" t="s">
        <v>103</v>
      </c>
      <c r="D291" s="63">
        <v>65200</v>
      </c>
      <c r="E291" s="64">
        <v>150</v>
      </c>
      <c r="F291" s="64">
        <v>8</v>
      </c>
      <c r="G291" s="84">
        <v>9.4E-2</v>
      </c>
      <c r="H291" s="67">
        <v>2.67</v>
      </c>
      <c r="I291" s="67">
        <v>2.71</v>
      </c>
      <c r="J291" s="67">
        <v>2.2999999999999998</v>
      </c>
      <c r="K291" s="67">
        <v>0.82</v>
      </c>
      <c r="L291" s="67">
        <v>8.51</v>
      </c>
      <c r="M291" s="67">
        <v>5.56</v>
      </c>
      <c r="N291" s="67">
        <v>6.4</v>
      </c>
      <c r="O291" s="67">
        <v>20.48</v>
      </c>
      <c r="P291" s="65">
        <f t="shared" si="4"/>
        <v>10.638297872340425</v>
      </c>
    </row>
    <row r="292" spans="1:16" x14ac:dyDescent="0.25">
      <c r="A292" s="62" t="s">
        <v>401</v>
      </c>
      <c r="B292" s="65">
        <f>(12*30)/12</f>
        <v>30</v>
      </c>
      <c r="C292" s="62" t="s">
        <v>103</v>
      </c>
      <c r="D292" s="63">
        <v>117500</v>
      </c>
      <c r="E292" s="64">
        <v>150</v>
      </c>
      <c r="F292" s="64">
        <v>8</v>
      </c>
      <c r="G292" s="84">
        <v>6.2E-2</v>
      </c>
      <c r="H292" s="67">
        <v>1.78</v>
      </c>
      <c r="I292" s="67">
        <v>1.8</v>
      </c>
      <c r="J292" s="67">
        <v>2.76</v>
      </c>
      <c r="K292" s="67">
        <v>0.55000000000000004</v>
      </c>
      <c r="L292" s="67">
        <v>6.91</v>
      </c>
      <c r="M292" s="67">
        <v>6.68</v>
      </c>
      <c r="N292" s="67">
        <v>4.26</v>
      </c>
      <c r="O292" s="67">
        <v>17.86</v>
      </c>
      <c r="P292" s="65">
        <f t="shared" si="4"/>
        <v>16.129032258064516</v>
      </c>
    </row>
    <row r="293" spans="1:16" x14ac:dyDescent="0.25">
      <c r="A293" s="62" t="s">
        <v>402</v>
      </c>
      <c r="B293" s="65">
        <f>(12*38)/12</f>
        <v>38</v>
      </c>
      <c r="C293" s="62" t="s">
        <v>103</v>
      </c>
      <c r="D293" s="63">
        <v>14000</v>
      </c>
      <c r="E293" s="64">
        <v>150</v>
      </c>
      <c r="F293" s="64">
        <v>8</v>
      </c>
      <c r="G293" s="84">
        <v>4.9000000000000002E-2</v>
      </c>
      <c r="H293" s="67">
        <v>1.4</v>
      </c>
      <c r="I293" s="67">
        <v>1.42</v>
      </c>
      <c r="J293" s="67">
        <v>2.6</v>
      </c>
      <c r="K293" s="67">
        <v>0.43</v>
      </c>
      <c r="L293" s="67">
        <v>5.87</v>
      </c>
      <c r="M293" s="67">
        <v>6.28</v>
      </c>
      <c r="N293" s="67">
        <v>3.36</v>
      </c>
      <c r="O293" s="67">
        <v>15.53</v>
      </c>
      <c r="P293" s="65">
        <f t="shared" si="4"/>
        <v>20.408163265306122</v>
      </c>
    </row>
    <row r="294" spans="1:16" x14ac:dyDescent="0.25">
      <c r="A294" s="62" t="s">
        <v>403</v>
      </c>
      <c r="B294" s="65">
        <f>(16*30)/12</f>
        <v>40</v>
      </c>
      <c r="C294" s="62" t="s">
        <v>103</v>
      </c>
      <c r="D294" s="63">
        <v>194000</v>
      </c>
      <c r="E294" s="64">
        <v>150</v>
      </c>
      <c r="F294" s="64">
        <v>8</v>
      </c>
      <c r="G294" s="84">
        <v>4.7E-2</v>
      </c>
      <c r="H294" s="67">
        <v>1.33</v>
      </c>
      <c r="I294" s="67">
        <v>1.35</v>
      </c>
      <c r="J294" s="67">
        <v>3.42</v>
      </c>
      <c r="K294" s="67">
        <v>0.41</v>
      </c>
      <c r="L294" s="67">
        <v>6.53</v>
      </c>
      <c r="M294" s="67">
        <v>8.27</v>
      </c>
      <c r="N294" s="67">
        <v>3.2</v>
      </c>
      <c r="O294" s="67">
        <v>18.010000000000002</v>
      </c>
      <c r="P294" s="65">
        <f t="shared" si="4"/>
        <v>21.276595744680851</v>
      </c>
    </row>
    <row r="295" spans="1:16" x14ac:dyDescent="0.25">
      <c r="A295" s="62" t="s">
        <v>404</v>
      </c>
      <c r="B295" s="65">
        <f>(23*15)/12</f>
        <v>28.75</v>
      </c>
      <c r="C295" s="62" t="s">
        <v>103</v>
      </c>
      <c r="D295" s="63">
        <v>184000</v>
      </c>
      <c r="E295" s="64">
        <v>150</v>
      </c>
      <c r="F295" s="64">
        <v>8</v>
      </c>
      <c r="G295" s="84">
        <v>6.5000000000000002E-2</v>
      </c>
      <c r="H295" s="67">
        <v>1.85</v>
      </c>
      <c r="I295" s="67">
        <v>1.88</v>
      </c>
      <c r="J295" s="67">
        <v>4.51</v>
      </c>
      <c r="K295" s="67">
        <v>0.56999999999999995</v>
      </c>
      <c r="L295" s="67">
        <v>8.83</v>
      </c>
      <c r="M295" s="67">
        <v>10.9</v>
      </c>
      <c r="N295" s="67">
        <v>4.4400000000000004</v>
      </c>
      <c r="O295" s="67">
        <v>24.18</v>
      </c>
      <c r="P295" s="65">
        <f t="shared" si="4"/>
        <v>15.384615384615383</v>
      </c>
    </row>
    <row r="296" spans="1:16" x14ac:dyDescent="0.25">
      <c r="A296" s="62" t="s">
        <v>405</v>
      </c>
      <c r="B296" s="65">
        <f>(24*20)/12</f>
        <v>40</v>
      </c>
      <c r="C296" s="62" t="s">
        <v>103</v>
      </c>
      <c r="D296" s="63">
        <v>234000</v>
      </c>
      <c r="E296" s="64">
        <v>150</v>
      </c>
      <c r="F296" s="64">
        <v>8</v>
      </c>
      <c r="G296" s="84">
        <v>4.7E-2</v>
      </c>
      <c r="H296" s="67">
        <v>1.33</v>
      </c>
      <c r="I296" s="67">
        <v>1.35</v>
      </c>
      <c r="J296" s="67">
        <v>4.13</v>
      </c>
      <c r="K296" s="67">
        <v>0.41</v>
      </c>
      <c r="L296" s="67">
        <v>7.24</v>
      </c>
      <c r="M296" s="67">
        <v>9.98</v>
      </c>
      <c r="N296" s="67">
        <v>3.2</v>
      </c>
      <c r="O296" s="67">
        <v>20.420000000000002</v>
      </c>
      <c r="P296" s="65">
        <f t="shared" si="4"/>
        <v>21.276595744680851</v>
      </c>
    </row>
    <row r="297" spans="1:16" x14ac:dyDescent="0.25">
      <c r="A297" s="62" t="s">
        <v>406</v>
      </c>
      <c r="B297" s="65">
        <f>(24*30)/12</f>
        <v>60</v>
      </c>
      <c r="C297" s="62" t="s">
        <v>103</v>
      </c>
      <c r="D297" s="63">
        <v>184000</v>
      </c>
      <c r="E297" s="64">
        <v>150</v>
      </c>
      <c r="F297" s="64">
        <v>8</v>
      </c>
      <c r="G297" s="84">
        <v>3.1E-2</v>
      </c>
      <c r="H297" s="67">
        <v>0.89</v>
      </c>
      <c r="I297" s="67">
        <v>0.9</v>
      </c>
      <c r="J297" s="67">
        <v>2.16</v>
      </c>
      <c r="K297" s="67">
        <v>0.27</v>
      </c>
      <c r="L297" s="67">
        <v>4.2300000000000004</v>
      </c>
      <c r="M297" s="67">
        <v>5.23</v>
      </c>
      <c r="N297" s="67">
        <v>2.13</v>
      </c>
      <c r="O297" s="67">
        <v>11.6</v>
      </c>
      <c r="P297" s="65">
        <f t="shared" si="4"/>
        <v>32.258064516129032</v>
      </c>
    </row>
    <row r="298" spans="1:16" x14ac:dyDescent="0.25">
      <c r="A298" s="62" t="s">
        <v>407</v>
      </c>
      <c r="B298" s="65">
        <f>(31*15)/12</f>
        <v>38.75</v>
      </c>
      <c r="C298" s="62" t="s">
        <v>106</v>
      </c>
      <c r="D298" s="63">
        <v>225000</v>
      </c>
      <c r="E298" s="64">
        <v>150</v>
      </c>
      <c r="F298" s="64">
        <v>8</v>
      </c>
      <c r="G298" s="84">
        <v>4.8000000000000001E-2</v>
      </c>
      <c r="H298" s="67">
        <v>1.38</v>
      </c>
      <c r="I298" s="67">
        <v>1.65</v>
      </c>
      <c r="J298" s="67">
        <v>4.1100000000000003</v>
      </c>
      <c r="K298" s="67">
        <v>0.46</v>
      </c>
      <c r="L298" s="67">
        <v>7.61</v>
      </c>
      <c r="M298" s="67">
        <v>9.92</v>
      </c>
      <c r="N298" s="67">
        <v>3.61</v>
      </c>
      <c r="O298" s="67">
        <v>21.16</v>
      </c>
      <c r="P298" s="65">
        <f t="shared" si="4"/>
        <v>20.833333333333332</v>
      </c>
    </row>
    <row r="299" spans="1:16" x14ac:dyDescent="0.25">
      <c r="A299" s="62" t="s">
        <v>408</v>
      </c>
      <c r="B299" s="65">
        <f>(32*15)/12</f>
        <v>40</v>
      </c>
      <c r="C299" s="62" t="s">
        <v>106</v>
      </c>
      <c r="D299" s="63">
        <v>229000</v>
      </c>
      <c r="E299" s="64">
        <v>150</v>
      </c>
      <c r="F299" s="64">
        <v>8</v>
      </c>
      <c r="G299" s="84">
        <v>4.7E-2</v>
      </c>
      <c r="H299" s="67">
        <v>1.33</v>
      </c>
      <c r="I299" s="67">
        <v>1.6</v>
      </c>
      <c r="J299" s="67">
        <v>4.04</v>
      </c>
      <c r="K299" s="67">
        <v>0.45</v>
      </c>
      <c r="L299" s="67">
        <v>7.44</v>
      </c>
      <c r="M299" s="67">
        <v>9.77</v>
      </c>
      <c r="N299" s="67">
        <v>3.49</v>
      </c>
      <c r="O299" s="67">
        <v>20.71</v>
      </c>
      <c r="P299" s="65">
        <f t="shared" si="4"/>
        <v>21.276595744680851</v>
      </c>
    </row>
    <row r="300" spans="1:16" x14ac:dyDescent="0.25">
      <c r="A300" s="62" t="s">
        <v>409</v>
      </c>
      <c r="B300" s="65">
        <f>(4*30)/12</f>
        <v>10</v>
      </c>
      <c r="C300" s="62" t="s">
        <v>165</v>
      </c>
      <c r="D300" s="63">
        <v>33400</v>
      </c>
      <c r="E300" s="64">
        <v>150</v>
      </c>
      <c r="F300" s="64">
        <v>8</v>
      </c>
      <c r="G300" s="84">
        <v>0.188</v>
      </c>
      <c r="H300" s="67">
        <v>5.34</v>
      </c>
      <c r="I300" s="67">
        <v>3.7</v>
      </c>
      <c r="J300" s="67">
        <v>2.36</v>
      </c>
      <c r="K300" s="67">
        <v>0.85</v>
      </c>
      <c r="L300" s="67">
        <v>12.26</v>
      </c>
      <c r="M300" s="67">
        <v>5.7</v>
      </c>
      <c r="N300" s="67">
        <v>6.36</v>
      </c>
      <c r="O300" s="67">
        <v>24.33</v>
      </c>
      <c r="P300" s="65">
        <f t="shared" si="4"/>
        <v>5.3191489361702127</v>
      </c>
    </row>
    <row r="301" spans="1:16" x14ac:dyDescent="0.25">
      <c r="A301" s="62" t="s">
        <v>410</v>
      </c>
      <c r="B301" s="65">
        <f>(4*38)/12</f>
        <v>12.666666666666666</v>
      </c>
      <c r="C301" s="62" t="s">
        <v>165</v>
      </c>
      <c r="D301" s="63">
        <v>28200</v>
      </c>
      <c r="E301" s="64">
        <v>150</v>
      </c>
      <c r="F301" s="64">
        <v>8</v>
      </c>
      <c r="G301" s="84">
        <v>0.14799999999999999</v>
      </c>
      <c r="H301" s="67">
        <v>4.2</v>
      </c>
      <c r="I301" s="67">
        <v>2.92</v>
      </c>
      <c r="J301" s="67">
        <v>1.57</v>
      </c>
      <c r="K301" s="67">
        <v>0.66</v>
      </c>
      <c r="L301" s="67">
        <v>9.36</v>
      </c>
      <c r="M301" s="67">
        <v>3.79</v>
      </c>
      <c r="N301" s="67">
        <v>5.01</v>
      </c>
      <c r="O301" s="67">
        <v>18.170000000000002</v>
      </c>
      <c r="P301" s="65">
        <f t="shared" si="4"/>
        <v>6.756756756756757</v>
      </c>
    </row>
    <row r="302" spans="1:16" x14ac:dyDescent="0.25">
      <c r="A302" s="62" t="s">
        <v>411</v>
      </c>
      <c r="B302" s="65">
        <f>(6*30)/12</f>
        <v>15</v>
      </c>
      <c r="C302" s="62" t="s">
        <v>99</v>
      </c>
      <c r="D302" s="63">
        <v>40700</v>
      </c>
      <c r="E302" s="64">
        <v>150</v>
      </c>
      <c r="F302" s="64">
        <v>8</v>
      </c>
      <c r="G302" s="84">
        <v>0.125</v>
      </c>
      <c r="H302" s="67">
        <v>3.56</v>
      </c>
      <c r="I302" s="67">
        <v>2.85</v>
      </c>
      <c r="J302" s="67">
        <v>1.91</v>
      </c>
      <c r="K302" s="67">
        <v>0.76</v>
      </c>
      <c r="L302" s="67">
        <v>9.09</v>
      </c>
      <c r="M302" s="67">
        <v>4.63</v>
      </c>
      <c r="N302" s="67">
        <v>5.7</v>
      </c>
      <c r="O302" s="67">
        <v>19.43</v>
      </c>
      <c r="P302" s="65">
        <f t="shared" si="4"/>
        <v>8</v>
      </c>
    </row>
    <row r="303" spans="1:16" x14ac:dyDescent="0.25">
      <c r="A303" s="62" t="s">
        <v>412</v>
      </c>
      <c r="B303" s="65">
        <f>(6*38)/12</f>
        <v>19</v>
      </c>
      <c r="C303" s="62" t="s">
        <v>99</v>
      </c>
      <c r="D303" s="63">
        <v>36700</v>
      </c>
      <c r="E303" s="64">
        <v>150</v>
      </c>
      <c r="F303" s="64">
        <v>8</v>
      </c>
      <c r="G303" s="84">
        <v>9.9000000000000005E-2</v>
      </c>
      <c r="H303" s="67">
        <v>2.81</v>
      </c>
      <c r="I303" s="67">
        <v>2.25</v>
      </c>
      <c r="J303" s="67">
        <v>1.36</v>
      </c>
      <c r="K303" s="67">
        <v>0.6</v>
      </c>
      <c r="L303" s="67">
        <v>7.03</v>
      </c>
      <c r="M303" s="67">
        <v>3.29</v>
      </c>
      <c r="N303" s="67">
        <v>4.5</v>
      </c>
      <c r="O303" s="67">
        <v>14.83</v>
      </c>
      <c r="P303" s="65">
        <f t="shared" si="4"/>
        <v>10.1010101010101</v>
      </c>
    </row>
    <row r="304" spans="1:16" x14ac:dyDescent="0.25">
      <c r="A304" s="62" t="s">
        <v>413</v>
      </c>
      <c r="B304" s="65">
        <f>(8*30)/12</f>
        <v>20</v>
      </c>
      <c r="C304" s="62" t="s">
        <v>101</v>
      </c>
      <c r="D304" s="63">
        <v>55100</v>
      </c>
      <c r="E304" s="64">
        <v>150</v>
      </c>
      <c r="F304" s="64">
        <v>8</v>
      </c>
      <c r="G304" s="84">
        <v>9.4E-2</v>
      </c>
      <c r="H304" s="67">
        <v>2.67</v>
      </c>
      <c r="I304" s="67">
        <v>2.42</v>
      </c>
      <c r="J304" s="67">
        <v>1.94</v>
      </c>
      <c r="K304" s="67">
        <v>0.64</v>
      </c>
      <c r="L304" s="67">
        <v>7.68</v>
      </c>
      <c r="M304" s="67">
        <v>4.7</v>
      </c>
      <c r="N304" s="67">
        <v>4.97</v>
      </c>
      <c r="O304" s="67">
        <v>17.37</v>
      </c>
      <c r="P304" s="65">
        <f t="shared" si="4"/>
        <v>10.638297872340425</v>
      </c>
    </row>
    <row r="305" spans="1:16" x14ac:dyDescent="0.25">
      <c r="A305" s="62" t="s">
        <v>414</v>
      </c>
      <c r="B305" s="65">
        <f>(8*38)/12</f>
        <v>25.333333333333332</v>
      </c>
      <c r="C305" s="62" t="s">
        <v>101</v>
      </c>
      <c r="D305" s="63">
        <v>51600</v>
      </c>
      <c r="E305" s="64">
        <v>150</v>
      </c>
      <c r="F305" s="64">
        <v>8</v>
      </c>
      <c r="G305" s="84">
        <v>7.3999999999999996E-2</v>
      </c>
      <c r="H305" s="67">
        <v>2.11</v>
      </c>
      <c r="I305" s="67">
        <v>1.91</v>
      </c>
      <c r="J305" s="67">
        <v>1.44</v>
      </c>
      <c r="K305" s="67">
        <v>0.5</v>
      </c>
      <c r="L305" s="67">
        <v>5.98</v>
      </c>
      <c r="M305" s="67">
        <v>3.48</v>
      </c>
      <c r="N305" s="67">
        <v>3.93</v>
      </c>
      <c r="O305" s="67">
        <v>13.39</v>
      </c>
      <c r="P305" s="65">
        <f t="shared" si="4"/>
        <v>13.513513513513514</v>
      </c>
    </row>
    <row r="306" spans="1:16" x14ac:dyDescent="0.25">
      <c r="A306" s="62" t="s">
        <v>415</v>
      </c>
      <c r="B306" s="65">
        <f>(11*15)/12</f>
        <v>13.75</v>
      </c>
      <c r="C306" s="62" t="s">
        <v>101</v>
      </c>
      <c r="D306" s="63">
        <v>53800</v>
      </c>
      <c r="E306" s="64">
        <v>150</v>
      </c>
      <c r="F306" s="64">
        <v>8</v>
      </c>
      <c r="G306" s="84">
        <v>0.13700000000000001</v>
      </c>
      <c r="H306" s="67">
        <v>3.9</v>
      </c>
      <c r="I306" s="67">
        <v>3.54</v>
      </c>
      <c r="J306" s="67">
        <v>2.77</v>
      </c>
      <c r="K306" s="67">
        <v>0.93</v>
      </c>
      <c r="L306" s="67">
        <v>11.15</v>
      </c>
      <c r="M306" s="67">
        <v>6.7</v>
      </c>
      <c r="N306" s="67">
        <v>7.26</v>
      </c>
      <c r="O306" s="67">
        <v>25.13</v>
      </c>
      <c r="P306" s="65">
        <f t="shared" si="4"/>
        <v>7.2992700729926998</v>
      </c>
    </row>
    <row r="307" spans="1:16" x14ac:dyDescent="0.25">
      <c r="A307" s="62" t="s">
        <v>416</v>
      </c>
      <c r="B307" s="65">
        <f>(11*20)/12</f>
        <v>18.333333333333332</v>
      </c>
      <c r="C307" s="62" t="s">
        <v>101</v>
      </c>
      <c r="D307" s="63">
        <v>58500</v>
      </c>
      <c r="E307" s="64">
        <v>150</v>
      </c>
      <c r="F307" s="64">
        <v>8</v>
      </c>
      <c r="G307" s="84">
        <v>0.10299999999999999</v>
      </c>
      <c r="H307" s="67">
        <v>2.92</v>
      </c>
      <c r="I307" s="67">
        <v>2.65</v>
      </c>
      <c r="J307" s="67">
        <v>2.2599999999999998</v>
      </c>
      <c r="K307" s="67">
        <v>0.7</v>
      </c>
      <c r="L307" s="67">
        <v>8.5299999999999994</v>
      </c>
      <c r="M307" s="67">
        <v>5.45</v>
      </c>
      <c r="N307" s="67">
        <v>5.44</v>
      </c>
      <c r="O307" s="67">
        <v>19.43</v>
      </c>
      <c r="P307" s="65">
        <f t="shared" si="4"/>
        <v>9.7087378640776709</v>
      </c>
    </row>
    <row r="308" spans="1:16" x14ac:dyDescent="0.25">
      <c r="A308" s="62" t="s">
        <v>417</v>
      </c>
      <c r="B308" s="65">
        <f>(12*20)/12</f>
        <v>20</v>
      </c>
      <c r="C308" s="62" t="s">
        <v>103</v>
      </c>
      <c r="D308" s="63">
        <v>62500</v>
      </c>
      <c r="E308" s="64">
        <v>150</v>
      </c>
      <c r="F308" s="64">
        <v>8</v>
      </c>
      <c r="G308" s="84">
        <v>9.4E-2</v>
      </c>
      <c r="H308" s="67">
        <v>2.67</v>
      </c>
      <c r="I308" s="67">
        <v>2.71</v>
      </c>
      <c r="J308" s="67">
        <v>2.2000000000000002</v>
      </c>
      <c r="K308" s="67">
        <v>0.82</v>
      </c>
      <c r="L308" s="67">
        <v>8.42</v>
      </c>
      <c r="M308" s="67">
        <v>5.33</v>
      </c>
      <c r="N308" s="67">
        <v>6.4</v>
      </c>
      <c r="O308" s="67">
        <v>20.149999999999999</v>
      </c>
      <c r="P308" s="65">
        <f t="shared" si="4"/>
        <v>10.638297872340425</v>
      </c>
    </row>
    <row r="309" spans="1:16" x14ac:dyDescent="0.25">
      <c r="A309" s="62" t="s">
        <v>418</v>
      </c>
      <c r="B309" s="65">
        <f>(12*30)/12</f>
        <v>30</v>
      </c>
      <c r="C309" s="62" t="s">
        <v>103</v>
      </c>
      <c r="D309" s="63">
        <v>77800</v>
      </c>
      <c r="E309" s="64">
        <v>150</v>
      </c>
      <c r="F309" s="64">
        <v>8</v>
      </c>
      <c r="G309" s="84">
        <v>6.2E-2</v>
      </c>
      <c r="H309" s="67">
        <v>1.78</v>
      </c>
      <c r="I309" s="67">
        <v>1.8</v>
      </c>
      <c r="J309" s="67">
        <v>1.83</v>
      </c>
      <c r="K309" s="67">
        <v>0.55000000000000004</v>
      </c>
      <c r="L309" s="67">
        <v>5.97</v>
      </c>
      <c r="M309" s="67">
        <v>4.42</v>
      </c>
      <c r="N309" s="67">
        <v>4.26</v>
      </c>
      <c r="O309" s="67">
        <v>14.67</v>
      </c>
      <c r="P309" s="65">
        <f t="shared" si="4"/>
        <v>16.129032258064516</v>
      </c>
    </row>
    <row r="310" spans="1:16" x14ac:dyDescent="0.25">
      <c r="A310" s="62" t="s">
        <v>419</v>
      </c>
      <c r="B310" s="65">
        <f>(15*15)/12</f>
        <v>18.75</v>
      </c>
      <c r="C310" s="62" t="s">
        <v>103</v>
      </c>
      <c r="D310" s="63">
        <v>73300</v>
      </c>
      <c r="E310" s="64">
        <v>150</v>
      </c>
      <c r="F310" s="64">
        <v>8</v>
      </c>
      <c r="G310" s="84">
        <v>9.4E-2</v>
      </c>
      <c r="H310" s="67">
        <v>2.67</v>
      </c>
      <c r="I310" s="67">
        <v>2.14</v>
      </c>
      <c r="J310" s="67">
        <v>2.59</v>
      </c>
      <c r="K310" s="67">
        <v>0.49</v>
      </c>
      <c r="L310" s="67">
        <v>7.89</v>
      </c>
      <c r="M310" s="67">
        <v>6.25</v>
      </c>
      <c r="N310" s="67">
        <v>3.69</v>
      </c>
      <c r="O310" s="67">
        <v>17.850000000000001</v>
      </c>
      <c r="P310" s="65">
        <f t="shared" si="4"/>
        <v>10.638297872340425</v>
      </c>
    </row>
    <row r="311" spans="1:16" x14ac:dyDescent="0.25">
      <c r="A311" s="62" t="s">
        <v>420</v>
      </c>
      <c r="B311" s="65">
        <f>(8*30)/12</f>
        <v>20</v>
      </c>
      <c r="C311" s="62" t="s">
        <v>106</v>
      </c>
      <c r="D311" s="63">
        <v>121000</v>
      </c>
      <c r="E311" s="64">
        <v>150</v>
      </c>
      <c r="F311" s="64">
        <v>8</v>
      </c>
      <c r="G311" s="84">
        <v>7.3999999999999996E-2</v>
      </c>
      <c r="H311" s="67">
        <v>2.11</v>
      </c>
      <c r="I311" s="67">
        <v>2.5299999999999998</v>
      </c>
      <c r="J311" s="67">
        <v>3.38</v>
      </c>
      <c r="K311" s="67">
        <v>0.71</v>
      </c>
      <c r="L311" s="67">
        <v>8.74</v>
      </c>
      <c r="M311" s="67">
        <v>8.16</v>
      </c>
      <c r="N311" s="67">
        <v>5.53</v>
      </c>
      <c r="O311" s="67">
        <v>22.44</v>
      </c>
      <c r="P311" s="65">
        <f t="shared" si="4"/>
        <v>13.513513513513514</v>
      </c>
    </row>
    <row r="312" spans="1:16" x14ac:dyDescent="0.25">
      <c r="A312" s="62" t="s">
        <v>421</v>
      </c>
      <c r="B312" s="65">
        <f>(12*30)/12</f>
        <v>30</v>
      </c>
      <c r="C312" s="62" t="s">
        <v>106</v>
      </c>
      <c r="D312" s="63">
        <v>150000</v>
      </c>
      <c r="E312" s="64">
        <v>150</v>
      </c>
      <c r="F312" s="64">
        <v>8</v>
      </c>
      <c r="G312" s="84">
        <v>4.9000000000000002E-2</v>
      </c>
      <c r="H312" s="67">
        <v>1.4</v>
      </c>
      <c r="I312" s="67">
        <v>1.68</v>
      </c>
      <c r="J312" s="67">
        <v>2.79</v>
      </c>
      <c r="K312" s="67">
        <v>0.47</v>
      </c>
      <c r="L312" s="67">
        <v>6.36</v>
      </c>
      <c r="M312" s="67">
        <v>6.73</v>
      </c>
      <c r="N312" s="67">
        <v>3.68</v>
      </c>
      <c r="O312" s="67">
        <v>16.78</v>
      </c>
      <c r="P312" s="65">
        <f t="shared" si="4"/>
        <v>20.408163265306122</v>
      </c>
    </row>
    <row r="313" spans="1:16" x14ac:dyDescent="0.25">
      <c r="A313" s="69" t="s">
        <v>422</v>
      </c>
      <c r="B313" s="72">
        <v>12</v>
      </c>
      <c r="C313" s="69" t="s">
        <v>165</v>
      </c>
      <c r="D313" s="70">
        <v>7470</v>
      </c>
      <c r="E313" s="71">
        <v>300</v>
      </c>
      <c r="F313" s="71">
        <v>12</v>
      </c>
      <c r="G313" s="85">
        <v>0.124</v>
      </c>
      <c r="H313" s="74">
        <v>2.39</v>
      </c>
      <c r="I313" s="74">
        <v>2.44</v>
      </c>
      <c r="J313" s="74">
        <v>0.21</v>
      </c>
      <c r="K313" s="74">
        <v>0.56000000000000005</v>
      </c>
      <c r="L313" s="74">
        <v>5.62</v>
      </c>
      <c r="M313" s="74">
        <v>0.38</v>
      </c>
      <c r="N313" s="74">
        <v>4.2</v>
      </c>
      <c r="O313" s="74">
        <v>10.210000000000001</v>
      </c>
      <c r="P313" s="72">
        <f t="shared" si="4"/>
        <v>8.064516129032258</v>
      </c>
    </row>
    <row r="314" spans="1:16" x14ac:dyDescent="0.25">
      <c r="A314" s="69" t="s">
        <v>423</v>
      </c>
      <c r="B314" s="72">
        <v>20</v>
      </c>
      <c r="C314" s="69" t="s">
        <v>99</v>
      </c>
      <c r="D314" s="70">
        <v>13500</v>
      </c>
      <c r="E314" s="71">
        <v>300</v>
      </c>
      <c r="F314" s="71">
        <v>12</v>
      </c>
      <c r="G314" s="85">
        <v>7.3999999999999996E-2</v>
      </c>
      <c r="H314" s="74">
        <v>1.43</v>
      </c>
      <c r="I314" s="74">
        <v>1.69</v>
      </c>
      <c r="J314" s="74">
        <v>0.23</v>
      </c>
      <c r="K314" s="74">
        <v>0.45</v>
      </c>
      <c r="L314" s="74">
        <v>3.82</v>
      </c>
      <c r="M314" s="74">
        <v>0.41</v>
      </c>
      <c r="N314" s="74">
        <v>3.38</v>
      </c>
      <c r="O314" s="74">
        <v>7.62</v>
      </c>
      <c r="P314" s="72">
        <f t="shared" si="4"/>
        <v>13.513513513513514</v>
      </c>
    </row>
    <row r="315" spans="1:16" x14ac:dyDescent="0.25">
      <c r="A315" s="69" t="s">
        <v>424</v>
      </c>
      <c r="B315" s="72">
        <v>30</v>
      </c>
      <c r="C315" s="69" t="s">
        <v>101</v>
      </c>
      <c r="D315" s="70">
        <v>21100</v>
      </c>
      <c r="E315" s="71">
        <v>300</v>
      </c>
      <c r="F315" s="71">
        <v>12</v>
      </c>
      <c r="G315" s="85">
        <v>4.9000000000000002E-2</v>
      </c>
      <c r="H315" s="74">
        <v>0.95</v>
      </c>
      <c r="I315" s="74">
        <v>1.28</v>
      </c>
      <c r="J315" s="74">
        <v>0.24</v>
      </c>
      <c r="K315" s="74">
        <v>0.33</v>
      </c>
      <c r="L315" s="74">
        <v>2.82</v>
      </c>
      <c r="M315" s="74">
        <v>0.43</v>
      </c>
      <c r="N315" s="74">
        <v>2.62</v>
      </c>
      <c r="O315" s="74">
        <v>5.88</v>
      </c>
      <c r="P315" s="72">
        <f t="shared" si="4"/>
        <v>20.408163265306122</v>
      </c>
    </row>
    <row r="316" spans="1:16" x14ac:dyDescent="0.25">
      <c r="A316" s="69" t="s">
        <v>425</v>
      </c>
      <c r="B316" s="72">
        <v>38</v>
      </c>
      <c r="C316" s="69" t="s">
        <v>106</v>
      </c>
      <c r="D316" s="70">
        <v>27500</v>
      </c>
      <c r="E316" s="71">
        <v>300</v>
      </c>
      <c r="F316" s="71">
        <v>12</v>
      </c>
      <c r="G316" s="85">
        <v>3.9E-2</v>
      </c>
      <c r="H316" s="74">
        <v>0.75</v>
      </c>
      <c r="I316" s="74">
        <v>1.33</v>
      </c>
      <c r="J316" s="74">
        <v>0.25</v>
      </c>
      <c r="K316" s="74">
        <v>0.37</v>
      </c>
      <c r="L316" s="74">
        <v>2.72</v>
      </c>
      <c r="M316" s="74">
        <v>0.44</v>
      </c>
      <c r="N316" s="74">
        <v>2.91</v>
      </c>
      <c r="O316" s="74">
        <v>6.08</v>
      </c>
      <c r="P316" s="72">
        <f t="shared" si="4"/>
        <v>25.641025641025642</v>
      </c>
    </row>
    <row r="317" spans="1:16" x14ac:dyDescent="0.25">
      <c r="A317" s="69" t="s">
        <v>426</v>
      </c>
      <c r="B317" s="72">
        <v>20</v>
      </c>
      <c r="C317" s="69" t="s">
        <v>99</v>
      </c>
      <c r="D317" s="70">
        <v>15900</v>
      </c>
      <c r="E317" s="71">
        <v>300</v>
      </c>
      <c r="F317" s="71">
        <v>12</v>
      </c>
      <c r="G317" s="85">
        <v>7.3999999999999996E-2</v>
      </c>
      <c r="H317" s="74">
        <v>1.43</v>
      </c>
      <c r="I317" s="74">
        <v>0.56000000000000005</v>
      </c>
      <c r="J317" s="74">
        <v>0.28000000000000003</v>
      </c>
      <c r="K317" s="74">
        <v>0.06</v>
      </c>
      <c r="L317" s="74">
        <v>2.35</v>
      </c>
      <c r="M317" s="74">
        <v>0.48</v>
      </c>
      <c r="N317" s="74">
        <v>0.51</v>
      </c>
      <c r="O317" s="74">
        <v>3.35</v>
      </c>
      <c r="P317" s="72">
        <f t="shared" si="4"/>
        <v>13.513513513513514</v>
      </c>
    </row>
    <row r="318" spans="1:16" x14ac:dyDescent="0.25">
      <c r="A318" s="69" t="s">
        <v>427</v>
      </c>
      <c r="B318" s="72">
        <v>32</v>
      </c>
      <c r="C318" s="69" t="s">
        <v>106</v>
      </c>
      <c r="D318" s="70">
        <v>23700</v>
      </c>
      <c r="E318" s="71">
        <v>300</v>
      </c>
      <c r="F318" s="71">
        <v>12</v>
      </c>
      <c r="G318" s="85">
        <v>4.5999999999999999E-2</v>
      </c>
      <c r="H318" s="74">
        <v>0.89</v>
      </c>
      <c r="I318" s="74">
        <v>1.58</v>
      </c>
      <c r="J318" s="74">
        <v>0.26</v>
      </c>
      <c r="K318" s="74">
        <v>0.44</v>
      </c>
      <c r="L318" s="74">
        <v>3.19</v>
      </c>
      <c r="M318" s="74">
        <v>0.45</v>
      </c>
      <c r="N318" s="74">
        <v>3.46</v>
      </c>
      <c r="O318" s="74">
        <v>7.11</v>
      </c>
      <c r="P318" s="72">
        <f t="shared" si="4"/>
        <v>21.739130434782609</v>
      </c>
    </row>
    <row r="319" spans="1:16" x14ac:dyDescent="0.25">
      <c r="A319" s="62" t="s">
        <v>428</v>
      </c>
      <c r="B319" s="65">
        <v>7</v>
      </c>
      <c r="C319" s="62" t="s">
        <v>165</v>
      </c>
      <c r="D319" s="63">
        <v>6580</v>
      </c>
      <c r="E319" s="64">
        <v>185</v>
      </c>
      <c r="F319" s="64">
        <v>10</v>
      </c>
      <c r="G319" s="84">
        <v>0.16800000000000001</v>
      </c>
      <c r="H319" s="67">
        <v>3.24</v>
      </c>
      <c r="I319" s="67">
        <v>3.31</v>
      </c>
      <c r="J319" s="67">
        <v>0.89</v>
      </c>
      <c r="K319" s="67">
        <v>0.9</v>
      </c>
      <c r="L319" s="67">
        <v>8.36</v>
      </c>
      <c r="M319" s="67">
        <v>0.79</v>
      </c>
      <c r="N319" s="67">
        <v>6.81</v>
      </c>
      <c r="O319" s="67">
        <v>15.97</v>
      </c>
      <c r="P319" s="65">
        <f t="shared" si="4"/>
        <v>5.9523809523809517</v>
      </c>
    </row>
    <row r="320" spans="1:16" x14ac:dyDescent="0.25">
      <c r="A320" s="62" t="s">
        <v>429</v>
      </c>
      <c r="B320" s="65">
        <v>12</v>
      </c>
      <c r="C320" s="62" t="s">
        <v>219</v>
      </c>
      <c r="D320" s="63">
        <v>21100</v>
      </c>
      <c r="E320" s="64">
        <v>185</v>
      </c>
      <c r="F320" s="64">
        <v>10</v>
      </c>
      <c r="G320" s="84">
        <v>9.8000000000000004E-2</v>
      </c>
      <c r="H320" s="67">
        <v>1.89</v>
      </c>
      <c r="I320" s="67">
        <v>2.2200000000000002</v>
      </c>
      <c r="J320" s="67">
        <v>1.68</v>
      </c>
      <c r="K320" s="67">
        <v>0.51</v>
      </c>
      <c r="L320" s="67">
        <v>6.31</v>
      </c>
      <c r="M320" s="67">
        <v>1.48</v>
      </c>
      <c r="N320" s="67">
        <v>3.85</v>
      </c>
      <c r="O320" s="67">
        <v>11.64</v>
      </c>
      <c r="P320" s="65">
        <f t="shared" si="4"/>
        <v>10.204081632653061</v>
      </c>
    </row>
    <row r="321" spans="1:16" x14ac:dyDescent="0.25">
      <c r="A321" s="62" t="s">
        <v>430</v>
      </c>
      <c r="B321" s="65">
        <v>15</v>
      </c>
      <c r="C321" s="62" t="s">
        <v>99</v>
      </c>
      <c r="D321" s="63">
        <v>27600</v>
      </c>
      <c r="E321" s="64">
        <v>185</v>
      </c>
      <c r="F321" s="64">
        <v>10</v>
      </c>
      <c r="G321" s="84">
        <v>7.8E-2</v>
      </c>
      <c r="H321" s="67">
        <v>1.51</v>
      </c>
      <c r="I321" s="67">
        <v>1.78</v>
      </c>
      <c r="J321" s="67">
        <v>1.75</v>
      </c>
      <c r="K321" s="67">
        <v>0.47</v>
      </c>
      <c r="L321" s="67">
        <v>5.53</v>
      </c>
      <c r="M321" s="67">
        <v>1.54</v>
      </c>
      <c r="N321" s="67">
        <v>3.56</v>
      </c>
      <c r="O321" s="67">
        <v>10.64</v>
      </c>
      <c r="P321" s="65">
        <f t="shared" si="4"/>
        <v>12.820512820512821</v>
      </c>
    </row>
    <row r="322" spans="1:16" x14ac:dyDescent="0.25">
      <c r="A322" s="62" t="s">
        <v>431</v>
      </c>
      <c r="B322" s="65">
        <v>20</v>
      </c>
      <c r="C322" s="62" t="s">
        <v>99</v>
      </c>
      <c r="D322" s="63">
        <v>42400</v>
      </c>
      <c r="E322" s="64">
        <v>185</v>
      </c>
      <c r="F322" s="64">
        <v>10</v>
      </c>
      <c r="G322" s="84">
        <v>5.8000000000000003E-2</v>
      </c>
      <c r="H322" s="67">
        <v>1.1299999999999999</v>
      </c>
      <c r="I322" s="67">
        <v>1.33</v>
      </c>
      <c r="J322" s="67">
        <v>2.02</v>
      </c>
      <c r="K322" s="67">
        <v>0.35</v>
      </c>
      <c r="L322" s="67">
        <v>4.8499999999999996</v>
      </c>
      <c r="M322" s="67">
        <v>1.78</v>
      </c>
      <c r="N322" s="67">
        <v>2.67</v>
      </c>
      <c r="O322" s="67">
        <v>9.31</v>
      </c>
      <c r="P322" s="65">
        <f t="shared" si="4"/>
        <v>17.241379310344826</v>
      </c>
    </row>
    <row r="323" spans="1:16" x14ac:dyDescent="0.25">
      <c r="A323" s="69" t="s">
        <v>432</v>
      </c>
      <c r="B323" s="72">
        <v>26</v>
      </c>
      <c r="C323" s="69" t="s">
        <v>103</v>
      </c>
      <c r="D323" s="70">
        <v>37600</v>
      </c>
      <c r="E323" s="71">
        <v>100</v>
      </c>
      <c r="F323" s="71">
        <v>10</v>
      </c>
      <c r="G323" s="85">
        <v>6.3E-2</v>
      </c>
      <c r="H323" s="74">
        <v>1.51</v>
      </c>
      <c r="I323" s="74">
        <v>1.82</v>
      </c>
      <c r="J323" s="74">
        <v>0.59</v>
      </c>
      <c r="K323" s="74">
        <v>0.55000000000000004</v>
      </c>
      <c r="L323" s="74">
        <v>4.4800000000000004</v>
      </c>
      <c r="M323" s="74">
        <v>3.15</v>
      </c>
      <c r="N323" s="74">
        <v>4.3</v>
      </c>
      <c r="O323" s="74">
        <v>11.95</v>
      </c>
      <c r="P323" s="72">
        <f t="shared" si="4"/>
        <v>15.873015873015873</v>
      </c>
    </row>
    <row r="324" spans="1:16" x14ac:dyDescent="0.25">
      <c r="A324" s="69" t="s">
        <v>433</v>
      </c>
      <c r="B324" s="72">
        <v>38</v>
      </c>
      <c r="C324" s="69" t="s">
        <v>106</v>
      </c>
      <c r="D324" s="70">
        <v>49800</v>
      </c>
      <c r="E324" s="71">
        <v>100</v>
      </c>
      <c r="F324" s="71">
        <v>10</v>
      </c>
      <c r="G324" s="85">
        <v>4.2999999999999997E-2</v>
      </c>
      <c r="H324" s="74">
        <v>1.03</v>
      </c>
      <c r="I324" s="74">
        <v>1.47</v>
      </c>
      <c r="J324" s="74">
        <v>0.54</v>
      </c>
      <c r="K324" s="74">
        <v>0.41</v>
      </c>
      <c r="L324" s="74">
        <v>3.46</v>
      </c>
      <c r="M324" s="74">
        <v>2.85</v>
      </c>
      <c r="N324" s="74">
        <v>3.22</v>
      </c>
      <c r="O324" s="74">
        <v>9.5399999999999991</v>
      </c>
      <c r="P324" s="72">
        <f t="shared" si="4"/>
        <v>23.255813953488374</v>
      </c>
    </row>
    <row r="325" spans="1:16" x14ac:dyDescent="0.25">
      <c r="A325" s="69" t="s">
        <v>434</v>
      </c>
      <c r="B325" s="72">
        <v>13</v>
      </c>
      <c r="C325" s="69" t="s">
        <v>165</v>
      </c>
      <c r="D325" s="70">
        <v>18700</v>
      </c>
      <c r="E325" s="71">
        <v>100</v>
      </c>
      <c r="F325" s="71">
        <v>10</v>
      </c>
      <c r="G325" s="85">
        <v>0.126</v>
      </c>
      <c r="H325" s="74">
        <v>3.02</v>
      </c>
      <c r="I325" s="74">
        <v>2.4900000000000002</v>
      </c>
      <c r="J325" s="74">
        <v>0.59</v>
      </c>
      <c r="K325" s="74">
        <v>0.56999999999999995</v>
      </c>
      <c r="L325" s="74">
        <v>6.68</v>
      </c>
      <c r="M325" s="74">
        <v>3.13</v>
      </c>
      <c r="N325" s="74">
        <v>4.28</v>
      </c>
      <c r="O325" s="74">
        <v>14.1</v>
      </c>
      <c r="P325" s="72">
        <f t="shared" ref="P325:P388" si="5">1/G325</f>
        <v>7.9365079365079367</v>
      </c>
    </row>
    <row r="326" spans="1:16" x14ac:dyDescent="0.25">
      <c r="A326" s="69" t="s">
        <v>435</v>
      </c>
      <c r="B326" s="72">
        <v>21</v>
      </c>
      <c r="C326" s="69" t="s">
        <v>436</v>
      </c>
      <c r="D326" s="70">
        <v>26900</v>
      </c>
      <c r="E326" s="71">
        <v>100</v>
      </c>
      <c r="F326" s="71">
        <v>10</v>
      </c>
      <c r="G326" s="85">
        <v>7.8E-2</v>
      </c>
      <c r="H326" s="74">
        <v>1.87</v>
      </c>
      <c r="I326" s="74">
        <v>2.02</v>
      </c>
      <c r="J326" s="74">
        <v>0.52</v>
      </c>
      <c r="K326" s="74">
        <v>0.28999999999999998</v>
      </c>
      <c r="L326" s="74">
        <v>4.71</v>
      </c>
      <c r="M326" s="74">
        <v>2.79</v>
      </c>
      <c r="N326" s="74">
        <v>2.25</v>
      </c>
      <c r="O326" s="74">
        <v>9.76</v>
      </c>
      <c r="P326" s="72">
        <f t="shared" si="5"/>
        <v>12.820512820512821</v>
      </c>
    </row>
    <row r="327" spans="1:16" x14ac:dyDescent="0.25">
      <c r="A327" s="69" t="s">
        <v>437</v>
      </c>
      <c r="B327" s="72">
        <v>26</v>
      </c>
      <c r="C327" s="69" t="s">
        <v>103</v>
      </c>
      <c r="D327" s="70">
        <v>29300</v>
      </c>
      <c r="E327" s="71">
        <v>100</v>
      </c>
      <c r="F327" s="71">
        <v>10</v>
      </c>
      <c r="G327" s="85">
        <v>2.5999999999999999E-2</v>
      </c>
      <c r="H327" s="74">
        <v>0.63</v>
      </c>
      <c r="I327" s="74">
        <v>0.76</v>
      </c>
      <c r="J327" s="74">
        <v>0.19</v>
      </c>
      <c r="K327" s="74">
        <v>0.23</v>
      </c>
      <c r="L327" s="74">
        <v>1.82</v>
      </c>
      <c r="M327" s="74">
        <v>1.03</v>
      </c>
      <c r="N327" s="74">
        <v>1.8</v>
      </c>
      <c r="O327" s="74">
        <v>4.66</v>
      </c>
      <c r="P327" s="72">
        <f t="shared" si="5"/>
        <v>38.46153846153846</v>
      </c>
    </row>
    <row r="328" spans="1:16" x14ac:dyDescent="0.25">
      <c r="A328" s="69" t="s">
        <v>438</v>
      </c>
      <c r="B328" s="72">
        <v>26</v>
      </c>
      <c r="C328" s="69" t="s">
        <v>106</v>
      </c>
      <c r="D328" s="70">
        <v>31900</v>
      </c>
      <c r="E328" s="71">
        <v>100</v>
      </c>
      <c r="F328" s="71">
        <v>10</v>
      </c>
      <c r="G328" s="85">
        <v>5.8999999999999997E-2</v>
      </c>
      <c r="H328" s="74">
        <v>1.1499999999999999</v>
      </c>
      <c r="I328" s="74">
        <v>2.0299999999999998</v>
      </c>
      <c r="J328" s="74">
        <v>0.47</v>
      </c>
      <c r="K328" s="74">
        <v>0.56999999999999995</v>
      </c>
      <c r="L328" s="74">
        <v>4.2300000000000004</v>
      </c>
      <c r="M328" s="74">
        <v>2.5099999999999998</v>
      </c>
      <c r="N328" s="74">
        <v>4.43</v>
      </c>
      <c r="O328" s="74">
        <v>11.18</v>
      </c>
      <c r="P328" s="72">
        <f t="shared" si="5"/>
        <v>16.949152542372882</v>
      </c>
    </row>
    <row r="329" spans="1:16" x14ac:dyDescent="0.25">
      <c r="A329" s="69" t="s">
        <v>439</v>
      </c>
      <c r="B329" s="72">
        <v>38</v>
      </c>
      <c r="C329" s="69" t="s">
        <v>106</v>
      </c>
      <c r="D329" s="70">
        <v>40100</v>
      </c>
      <c r="E329" s="71">
        <v>100</v>
      </c>
      <c r="F329" s="71">
        <v>10</v>
      </c>
      <c r="G329" s="85">
        <v>0.04</v>
      </c>
      <c r="H329" s="74">
        <v>0.78</v>
      </c>
      <c r="I329" s="74">
        <v>1.39</v>
      </c>
      <c r="J329" s="74">
        <v>0.4</v>
      </c>
      <c r="K329" s="74">
        <v>0.39</v>
      </c>
      <c r="L329" s="74">
        <v>2.98</v>
      </c>
      <c r="M329" s="74">
        <v>2.16</v>
      </c>
      <c r="N329" s="74">
        <v>3.03</v>
      </c>
      <c r="O329" s="74">
        <v>8.18</v>
      </c>
      <c r="P329" s="72">
        <f t="shared" si="5"/>
        <v>25</v>
      </c>
    </row>
    <row r="330" spans="1:16" x14ac:dyDescent="0.25">
      <c r="A330" s="69" t="s">
        <v>440</v>
      </c>
      <c r="B330" s="72">
        <v>13</v>
      </c>
      <c r="C330" s="69" t="s">
        <v>165</v>
      </c>
      <c r="D330" s="70">
        <v>12900</v>
      </c>
      <c r="E330" s="71">
        <v>100</v>
      </c>
      <c r="F330" s="71">
        <v>10</v>
      </c>
      <c r="G330" s="85">
        <v>0.11899999999999999</v>
      </c>
      <c r="H330" s="74">
        <v>2.2999999999999998</v>
      </c>
      <c r="I330" s="74">
        <v>2.35</v>
      </c>
      <c r="J330" s="74">
        <v>0.38</v>
      </c>
      <c r="K330" s="74">
        <v>0.53</v>
      </c>
      <c r="L330" s="74">
        <v>5.57</v>
      </c>
      <c r="M330" s="74">
        <v>2.0299999999999998</v>
      </c>
      <c r="N330" s="74">
        <v>4.03</v>
      </c>
      <c r="O330" s="74">
        <v>11.64</v>
      </c>
      <c r="P330" s="72">
        <f t="shared" si="5"/>
        <v>8.4033613445378155</v>
      </c>
    </row>
    <row r="331" spans="1:16" x14ac:dyDescent="0.25">
      <c r="A331" s="69" t="s">
        <v>441</v>
      </c>
      <c r="B331" s="72">
        <v>21</v>
      </c>
      <c r="C331" s="69" t="s">
        <v>436</v>
      </c>
      <c r="D331" s="70">
        <v>21200</v>
      </c>
      <c r="E331" s="71">
        <v>100</v>
      </c>
      <c r="F331" s="71">
        <v>10</v>
      </c>
      <c r="G331" s="85">
        <v>7.2999999999999995E-2</v>
      </c>
      <c r="H331" s="74">
        <v>1.42</v>
      </c>
      <c r="I331" s="74">
        <v>1.9</v>
      </c>
      <c r="J331" s="74">
        <v>0.39</v>
      </c>
      <c r="K331" s="74">
        <v>0.27</v>
      </c>
      <c r="L331" s="74">
        <v>3.99</v>
      </c>
      <c r="M331" s="74">
        <v>2.0699999999999998</v>
      </c>
      <c r="N331" s="74">
        <v>2.12</v>
      </c>
      <c r="O331" s="74">
        <v>8.19</v>
      </c>
      <c r="P331" s="72">
        <f t="shared" si="5"/>
        <v>13.698630136986303</v>
      </c>
    </row>
    <row r="332" spans="1:16" x14ac:dyDescent="0.25">
      <c r="A332" s="69" t="s">
        <v>442</v>
      </c>
      <c r="B332" s="72">
        <v>26</v>
      </c>
      <c r="C332" s="69" t="s">
        <v>103</v>
      </c>
      <c r="D332" s="70">
        <v>23600</v>
      </c>
      <c r="E332" s="71">
        <v>100</v>
      </c>
      <c r="F332" s="71">
        <v>10</v>
      </c>
      <c r="G332" s="85">
        <v>5.8999999999999997E-2</v>
      </c>
      <c r="H332" s="74">
        <v>1.1499999999999999</v>
      </c>
      <c r="I332" s="74">
        <v>1.71</v>
      </c>
      <c r="J332" s="74">
        <v>0.35</v>
      </c>
      <c r="K332" s="74">
        <v>0.52</v>
      </c>
      <c r="L332" s="74">
        <v>3.74</v>
      </c>
      <c r="M332" s="74">
        <v>1.86</v>
      </c>
      <c r="N332" s="74">
        <v>4.05</v>
      </c>
      <c r="O332" s="74">
        <v>9.66</v>
      </c>
      <c r="P332" s="72">
        <f t="shared" si="5"/>
        <v>16.949152542372882</v>
      </c>
    </row>
    <row r="333" spans="1:16" x14ac:dyDescent="0.25">
      <c r="A333" s="69" t="s">
        <v>443</v>
      </c>
      <c r="B333" s="72">
        <v>26</v>
      </c>
      <c r="C333" s="69" t="s">
        <v>103</v>
      </c>
      <c r="D333" s="70">
        <v>38000</v>
      </c>
      <c r="E333" s="71">
        <v>160</v>
      </c>
      <c r="F333" s="71">
        <v>10</v>
      </c>
      <c r="G333" s="85">
        <v>7.1999999999999995E-2</v>
      </c>
      <c r="H333" s="74">
        <v>1.39</v>
      </c>
      <c r="I333" s="74">
        <v>2.0699999999999998</v>
      </c>
      <c r="J333" s="74">
        <v>0.68</v>
      </c>
      <c r="K333" s="74">
        <v>0.63</v>
      </c>
      <c r="L333" s="74">
        <v>4.78</v>
      </c>
      <c r="M333" s="74">
        <v>2.2599999999999998</v>
      </c>
      <c r="N333" s="74">
        <v>4.8899999999999997</v>
      </c>
      <c r="O333" s="74">
        <v>11.94</v>
      </c>
      <c r="P333" s="72">
        <f t="shared" si="5"/>
        <v>13.888888888888889</v>
      </c>
    </row>
    <row r="334" spans="1:16" x14ac:dyDescent="0.25">
      <c r="A334" s="69" t="s">
        <v>444</v>
      </c>
      <c r="B334" s="72">
        <v>30</v>
      </c>
      <c r="C334" s="69" t="s">
        <v>103</v>
      </c>
      <c r="D334" s="70">
        <v>69000</v>
      </c>
      <c r="E334" s="71">
        <v>160</v>
      </c>
      <c r="F334" s="71">
        <v>10</v>
      </c>
      <c r="G334" s="85">
        <v>6.2E-2</v>
      </c>
      <c r="H334" s="74">
        <v>1.2</v>
      </c>
      <c r="I334" s="74">
        <v>1.79</v>
      </c>
      <c r="J334" s="74">
        <v>1.07</v>
      </c>
      <c r="K334" s="74">
        <v>0.54</v>
      </c>
      <c r="L334" s="74">
        <v>4.62</v>
      </c>
      <c r="M334" s="74">
        <v>3.56</v>
      </c>
      <c r="N334" s="74">
        <v>4.24</v>
      </c>
      <c r="O334" s="74">
        <v>12.43</v>
      </c>
      <c r="P334" s="72">
        <f t="shared" si="5"/>
        <v>16.129032258064516</v>
      </c>
    </row>
    <row r="335" spans="1:16" x14ac:dyDescent="0.25">
      <c r="A335" s="69" t="s">
        <v>445</v>
      </c>
      <c r="B335" s="72">
        <v>40</v>
      </c>
      <c r="C335" s="69" t="s">
        <v>106</v>
      </c>
      <c r="D335" s="70">
        <v>57100</v>
      </c>
      <c r="E335" s="71">
        <v>160</v>
      </c>
      <c r="F335" s="71">
        <v>10</v>
      </c>
      <c r="G335" s="85">
        <v>4.5999999999999999E-2</v>
      </c>
      <c r="H335" s="74">
        <v>0.9</v>
      </c>
      <c r="I335" s="74">
        <v>1.59</v>
      </c>
      <c r="J335" s="74">
        <v>0.66</v>
      </c>
      <c r="K335" s="74">
        <v>0.44</v>
      </c>
      <c r="L335" s="74">
        <v>3.61</v>
      </c>
      <c r="M335" s="74">
        <v>2.21</v>
      </c>
      <c r="N335" s="74">
        <v>3.47</v>
      </c>
      <c r="O335" s="74">
        <v>9.3000000000000007</v>
      </c>
      <c r="P335" s="72">
        <f t="shared" si="5"/>
        <v>21.739130434782609</v>
      </c>
    </row>
    <row r="336" spans="1:16" x14ac:dyDescent="0.25">
      <c r="A336" s="69" t="s">
        <v>446</v>
      </c>
      <c r="B336" s="72">
        <v>21</v>
      </c>
      <c r="C336" s="69" t="s">
        <v>103</v>
      </c>
      <c r="D336" s="70">
        <v>38400</v>
      </c>
      <c r="E336" s="71">
        <v>160</v>
      </c>
      <c r="F336" s="71">
        <v>10</v>
      </c>
      <c r="G336" s="85">
        <v>8.8999999999999996E-2</v>
      </c>
      <c r="H336" s="74">
        <v>1.72</v>
      </c>
      <c r="I336" s="74">
        <v>2.56</v>
      </c>
      <c r="J336" s="74">
        <v>0.85</v>
      </c>
      <c r="K336" s="74">
        <v>0.78</v>
      </c>
      <c r="L336" s="74">
        <v>5.93</v>
      </c>
      <c r="M336" s="74">
        <v>2.83</v>
      </c>
      <c r="N336" s="74">
        <v>6.06</v>
      </c>
      <c r="O336" s="74">
        <v>14.82</v>
      </c>
      <c r="P336" s="72">
        <f t="shared" si="5"/>
        <v>11.235955056179776</v>
      </c>
    </row>
    <row r="337" spans="1:16" x14ac:dyDescent="0.25">
      <c r="A337" s="69" t="s">
        <v>447</v>
      </c>
      <c r="B337" s="72">
        <v>26</v>
      </c>
      <c r="C337" s="69" t="s">
        <v>103</v>
      </c>
      <c r="D337" s="70">
        <v>42300</v>
      </c>
      <c r="E337" s="71">
        <v>160</v>
      </c>
      <c r="F337" s="71">
        <v>10</v>
      </c>
      <c r="G337" s="85">
        <v>7.1999999999999995E-2</v>
      </c>
      <c r="H337" s="74">
        <v>1.39</v>
      </c>
      <c r="I337" s="74">
        <v>2.0699999999999998</v>
      </c>
      <c r="J337" s="74">
        <v>0.76</v>
      </c>
      <c r="K337" s="74">
        <v>0.63</v>
      </c>
      <c r="L337" s="74">
        <v>4.8600000000000003</v>
      </c>
      <c r="M337" s="74">
        <v>2.52</v>
      </c>
      <c r="N337" s="74">
        <v>4.8899999999999997</v>
      </c>
      <c r="O337" s="74">
        <v>12.27</v>
      </c>
      <c r="P337" s="72">
        <f t="shared" si="5"/>
        <v>13.888888888888889</v>
      </c>
    </row>
    <row r="338" spans="1:16" x14ac:dyDescent="0.25">
      <c r="A338" s="62" t="s">
        <v>448</v>
      </c>
      <c r="B338" s="86" t="s">
        <v>204</v>
      </c>
      <c r="C338" s="62" t="s">
        <v>103</v>
      </c>
      <c r="D338" s="63">
        <v>14500</v>
      </c>
      <c r="E338" s="64">
        <v>100</v>
      </c>
      <c r="F338" s="64">
        <v>8</v>
      </c>
      <c r="G338" s="84">
        <v>4.2000000000000003E-2</v>
      </c>
      <c r="H338" s="67">
        <v>1.19</v>
      </c>
      <c r="I338" s="67">
        <v>1.21</v>
      </c>
      <c r="J338" s="67">
        <v>0.34</v>
      </c>
      <c r="K338" s="67">
        <v>0.36</v>
      </c>
      <c r="L338" s="67">
        <v>3.11</v>
      </c>
      <c r="M338" s="67">
        <v>0.85</v>
      </c>
      <c r="N338" s="67">
        <v>2.85</v>
      </c>
      <c r="O338" s="67">
        <v>6.83</v>
      </c>
      <c r="P338" s="65">
        <f t="shared" si="5"/>
        <v>23.809523809523807</v>
      </c>
    </row>
    <row r="339" spans="1:16" x14ac:dyDescent="0.25">
      <c r="A339" s="69" t="s">
        <v>449</v>
      </c>
      <c r="B339" s="72">
        <f>75/12</f>
        <v>6.25</v>
      </c>
      <c r="C339" s="69" t="s">
        <v>450</v>
      </c>
      <c r="D339" s="70">
        <v>780</v>
      </c>
      <c r="E339" s="71">
        <v>200</v>
      </c>
      <c r="F339" s="71">
        <v>8</v>
      </c>
      <c r="G339" s="85">
        <v>0.26</v>
      </c>
      <c r="H339" s="74">
        <v>6.19</v>
      </c>
      <c r="I339" s="74">
        <v>0.49</v>
      </c>
      <c r="J339" s="74">
        <v>0.09</v>
      </c>
      <c r="K339" s="74">
        <v>0.49</v>
      </c>
      <c r="L339" s="74">
        <v>7.28</v>
      </c>
      <c r="M339" s="74">
        <v>0.14000000000000001</v>
      </c>
      <c r="N339" s="74">
        <v>2.37</v>
      </c>
      <c r="O339" s="74">
        <v>9.7899999999999991</v>
      </c>
      <c r="P339" s="72">
        <f t="shared" si="5"/>
        <v>3.8461538461538458</v>
      </c>
    </row>
    <row r="340" spans="1:16" x14ac:dyDescent="0.25">
      <c r="A340" s="69" t="s">
        <v>451</v>
      </c>
      <c r="B340" s="72">
        <v>20</v>
      </c>
      <c r="C340" s="69" t="s">
        <v>450</v>
      </c>
      <c r="D340" s="70">
        <v>1530</v>
      </c>
      <c r="E340" s="71">
        <v>200</v>
      </c>
      <c r="F340" s="71">
        <v>8</v>
      </c>
      <c r="G340" s="85">
        <v>8.4000000000000005E-2</v>
      </c>
      <c r="H340" s="74">
        <v>2.0099999999999998</v>
      </c>
      <c r="I340" s="74">
        <v>0.15</v>
      </c>
      <c r="J340" s="74">
        <v>0.06</v>
      </c>
      <c r="K340" s="74">
        <v>0.16</v>
      </c>
      <c r="L340" s="74">
        <v>2.39</v>
      </c>
      <c r="M340" s="74">
        <v>0.09</v>
      </c>
      <c r="N340" s="74">
        <v>0.77</v>
      </c>
      <c r="O340" s="74">
        <v>3.25</v>
      </c>
      <c r="P340" s="72">
        <f t="shared" si="5"/>
        <v>11.904761904761903</v>
      </c>
    </row>
    <row r="341" spans="1:16" x14ac:dyDescent="0.25">
      <c r="A341" s="69" t="s">
        <v>452</v>
      </c>
      <c r="B341" s="72">
        <v>27</v>
      </c>
      <c r="C341" s="69" t="s">
        <v>101</v>
      </c>
      <c r="D341" s="70">
        <v>6100</v>
      </c>
      <c r="E341" s="71">
        <v>200</v>
      </c>
      <c r="F341" s="71">
        <v>8</v>
      </c>
      <c r="G341" s="85">
        <v>6.2E-2</v>
      </c>
      <c r="H341" s="74">
        <v>1.49</v>
      </c>
      <c r="I341" s="74">
        <v>1.61</v>
      </c>
      <c r="J341" s="74">
        <v>0.17</v>
      </c>
      <c r="K341" s="74">
        <v>0.42</v>
      </c>
      <c r="L341" s="74">
        <v>3.71</v>
      </c>
      <c r="M341" s="74">
        <v>0.26</v>
      </c>
      <c r="N341" s="74">
        <v>3.31</v>
      </c>
      <c r="O341" s="74">
        <v>7.29</v>
      </c>
      <c r="P341" s="72">
        <f t="shared" si="5"/>
        <v>16.129032258064516</v>
      </c>
    </row>
    <row r="342" spans="1:16" x14ac:dyDescent="0.25">
      <c r="A342" s="69" t="s">
        <v>453</v>
      </c>
      <c r="B342" s="72">
        <v>40</v>
      </c>
      <c r="C342" s="69" t="s">
        <v>101</v>
      </c>
      <c r="D342" s="70">
        <v>10700</v>
      </c>
      <c r="E342" s="71">
        <v>200</v>
      </c>
      <c r="F342" s="71">
        <v>8</v>
      </c>
      <c r="G342" s="85">
        <v>4.2000000000000003E-2</v>
      </c>
      <c r="H342" s="74">
        <v>1</v>
      </c>
      <c r="I342" s="74">
        <v>1.08</v>
      </c>
      <c r="J342" s="74">
        <v>0.21</v>
      </c>
      <c r="K342" s="74">
        <v>0.28000000000000003</v>
      </c>
      <c r="L342" s="74">
        <v>2.59</v>
      </c>
      <c r="M342" s="74">
        <v>0.31</v>
      </c>
      <c r="N342" s="74">
        <v>2.23</v>
      </c>
      <c r="O342" s="74">
        <v>5.14</v>
      </c>
      <c r="P342" s="72">
        <f t="shared" si="5"/>
        <v>23.809523809523807</v>
      </c>
    </row>
    <row r="343" spans="1:16" x14ac:dyDescent="0.25">
      <c r="A343" s="69" t="s">
        <v>454</v>
      </c>
      <c r="B343" s="72">
        <v>50</v>
      </c>
      <c r="C343" s="69" t="s">
        <v>101</v>
      </c>
      <c r="D343" s="70">
        <v>9900</v>
      </c>
      <c r="E343" s="71">
        <v>200</v>
      </c>
      <c r="F343" s="71">
        <v>8</v>
      </c>
      <c r="G343" s="85">
        <v>3.3000000000000002E-2</v>
      </c>
      <c r="H343" s="74">
        <v>0.8</v>
      </c>
      <c r="I343" s="74">
        <v>0.87</v>
      </c>
      <c r="J343" s="74">
        <v>0.15</v>
      </c>
      <c r="K343" s="74">
        <v>0.23</v>
      </c>
      <c r="L343" s="74">
        <v>2.06</v>
      </c>
      <c r="M343" s="74">
        <v>0.23</v>
      </c>
      <c r="N343" s="74">
        <v>1.78</v>
      </c>
      <c r="O343" s="74">
        <v>4.08</v>
      </c>
      <c r="P343" s="72">
        <f t="shared" si="5"/>
        <v>30.303030303030301</v>
      </c>
    </row>
    <row r="344" spans="1:16" x14ac:dyDescent="0.25">
      <c r="A344" s="69" t="s">
        <v>455</v>
      </c>
      <c r="B344" s="72">
        <v>60</v>
      </c>
      <c r="C344" s="69" t="s">
        <v>101</v>
      </c>
      <c r="D344" s="70">
        <v>18600</v>
      </c>
      <c r="E344" s="71">
        <v>200</v>
      </c>
      <c r="F344" s="71">
        <v>8</v>
      </c>
      <c r="G344" s="85">
        <v>2.8000000000000001E-2</v>
      </c>
      <c r="H344" s="74">
        <v>0.67</v>
      </c>
      <c r="I344" s="74">
        <v>0.72</v>
      </c>
      <c r="J344" s="74">
        <v>0.24</v>
      </c>
      <c r="K344" s="74">
        <v>0.19</v>
      </c>
      <c r="L344" s="74">
        <v>1.83</v>
      </c>
      <c r="M344" s="74">
        <v>0.36</v>
      </c>
      <c r="N344" s="74">
        <v>1.48</v>
      </c>
      <c r="O344" s="74">
        <v>3.69</v>
      </c>
      <c r="P344" s="72">
        <f t="shared" si="5"/>
        <v>35.714285714285715</v>
      </c>
    </row>
    <row r="345" spans="1:16" x14ac:dyDescent="0.25">
      <c r="A345" s="69" t="s">
        <v>456</v>
      </c>
      <c r="B345" s="72">
        <v>27</v>
      </c>
      <c r="C345" s="69" t="s">
        <v>101</v>
      </c>
      <c r="D345" s="70">
        <v>13600</v>
      </c>
      <c r="E345" s="71">
        <v>200</v>
      </c>
      <c r="F345" s="71">
        <v>8</v>
      </c>
      <c r="G345" s="85">
        <v>6.2E-2</v>
      </c>
      <c r="H345" s="74">
        <v>1.49</v>
      </c>
      <c r="I345" s="74">
        <v>1.61</v>
      </c>
      <c r="J345" s="74">
        <v>0.39</v>
      </c>
      <c r="K345" s="74">
        <v>0.42</v>
      </c>
      <c r="L345" s="74">
        <v>3.93</v>
      </c>
      <c r="M345" s="74">
        <v>0.59</v>
      </c>
      <c r="N345" s="74">
        <v>3.31</v>
      </c>
      <c r="O345" s="74">
        <v>7.84</v>
      </c>
      <c r="P345" s="72">
        <f t="shared" si="5"/>
        <v>16.129032258064516</v>
      </c>
    </row>
    <row r="346" spans="1:16" x14ac:dyDescent="0.25">
      <c r="A346" s="69" t="s">
        <v>457</v>
      </c>
      <c r="B346" s="72">
        <v>30</v>
      </c>
      <c r="C346" s="69" t="s">
        <v>101</v>
      </c>
      <c r="D346" s="70">
        <v>19400</v>
      </c>
      <c r="E346" s="71">
        <v>200</v>
      </c>
      <c r="F346" s="71">
        <v>8</v>
      </c>
      <c r="G346" s="85">
        <v>5.6000000000000001E-2</v>
      </c>
      <c r="H346" s="74">
        <v>1.34</v>
      </c>
      <c r="I346" s="74">
        <v>1.45</v>
      </c>
      <c r="J346" s="74">
        <v>0.51</v>
      </c>
      <c r="K346" s="74">
        <v>0.38</v>
      </c>
      <c r="L346" s="74">
        <v>3.69</v>
      </c>
      <c r="M346" s="74">
        <v>0.76</v>
      </c>
      <c r="N346" s="74">
        <v>2.97</v>
      </c>
      <c r="O346" s="74">
        <v>7.43</v>
      </c>
      <c r="P346" s="72">
        <f t="shared" si="5"/>
        <v>17.857142857142858</v>
      </c>
    </row>
    <row r="347" spans="1:16" x14ac:dyDescent="0.25">
      <c r="A347" s="69" t="s">
        <v>458</v>
      </c>
      <c r="B347" s="72">
        <v>40</v>
      </c>
      <c r="C347" s="69" t="s">
        <v>101</v>
      </c>
      <c r="D347" s="70">
        <v>23200</v>
      </c>
      <c r="E347" s="71">
        <v>200</v>
      </c>
      <c r="F347" s="71">
        <v>8</v>
      </c>
      <c r="G347" s="85">
        <v>4.2000000000000003E-2</v>
      </c>
      <c r="H347" s="74">
        <v>1</v>
      </c>
      <c r="I347" s="74">
        <v>1.08</v>
      </c>
      <c r="J347" s="74">
        <v>0.46</v>
      </c>
      <c r="K347" s="74">
        <v>0.28000000000000003</v>
      </c>
      <c r="L347" s="74">
        <v>2.84</v>
      </c>
      <c r="M347" s="74">
        <v>0.68</v>
      </c>
      <c r="N347" s="74">
        <v>2.23</v>
      </c>
      <c r="O347" s="74">
        <v>5.76</v>
      </c>
      <c r="P347" s="72">
        <f t="shared" si="5"/>
        <v>23.809523809523807</v>
      </c>
    </row>
    <row r="348" spans="1:16" x14ac:dyDescent="0.25">
      <c r="A348" s="69" t="s">
        <v>459</v>
      </c>
      <c r="B348" s="72">
        <v>13</v>
      </c>
      <c r="C348" s="69" t="s">
        <v>99</v>
      </c>
      <c r="D348" s="70">
        <v>9170</v>
      </c>
      <c r="E348" s="71">
        <v>200</v>
      </c>
      <c r="F348" s="71">
        <v>8</v>
      </c>
      <c r="G348" s="85">
        <v>0.13</v>
      </c>
      <c r="H348" s="74">
        <v>3.09</v>
      </c>
      <c r="I348" s="74">
        <v>2.95</v>
      </c>
      <c r="J348" s="74">
        <v>0.55000000000000004</v>
      </c>
      <c r="K348" s="74">
        <v>0.78</v>
      </c>
      <c r="L348" s="74">
        <v>7.4</v>
      </c>
      <c r="M348" s="74">
        <v>0.83</v>
      </c>
      <c r="N348" s="74">
        <v>5.9</v>
      </c>
      <c r="O348" s="74">
        <v>14.14</v>
      </c>
      <c r="P348" s="72">
        <f t="shared" si="5"/>
        <v>7.6923076923076916</v>
      </c>
    </row>
    <row r="349" spans="1:16" x14ac:dyDescent="0.25">
      <c r="A349" s="69" t="s">
        <v>460</v>
      </c>
      <c r="B349" s="72">
        <v>20</v>
      </c>
      <c r="C349" s="69" t="s">
        <v>99</v>
      </c>
      <c r="D349" s="70">
        <v>10700</v>
      </c>
      <c r="E349" s="71">
        <v>200</v>
      </c>
      <c r="F349" s="71">
        <v>8</v>
      </c>
      <c r="G349" s="85">
        <v>8.4000000000000005E-2</v>
      </c>
      <c r="H349" s="74">
        <v>2.0099999999999998</v>
      </c>
      <c r="I349" s="74">
        <v>1.92</v>
      </c>
      <c r="J349" s="74">
        <v>0.42</v>
      </c>
      <c r="K349" s="74">
        <v>0.51</v>
      </c>
      <c r="L349" s="74">
        <v>4.87</v>
      </c>
      <c r="M349" s="74">
        <v>0.63</v>
      </c>
      <c r="N349" s="74">
        <v>3.83</v>
      </c>
      <c r="O349" s="74">
        <v>9.34</v>
      </c>
      <c r="P349" s="72">
        <f t="shared" si="5"/>
        <v>11.904761904761903</v>
      </c>
    </row>
    <row r="350" spans="1:16" x14ac:dyDescent="0.25">
      <c r="A350" s="69" t="s">
        <v>461</v>
      </c>
      <c r="B350" s="72">
        <v>27</v>
      </c>
      <c r="C350" s="69" t="s">
        <v>101</v>
      </c>
      <c r="D350" s="70">
        <v>12600</v>
      </c>
      <c r="E350" s="71">
        <v>200</v>
      </c>
      <c r="F350" s="71">
        <v>8</v>
      </c>
      <c r="G350" s="85">
        <v>6.2E-2</v>
      </c>
      <c r="H350" s="74">
        <v>1.49</v>
      </c>
      <c r="I350" s="74">
        <v>1.61</v>
      </c>
      <c r="J350" s="74">
        <v>0.37</v>
      </c>
      <c r="K350" s="74">
        <v>0.42</v>
      </c>
      <c r="L350" s="74">
        <v>3.9</v>
      </c>
      <c r="M350" s="74">
        <v>0.55000000000000004</v>
      </c>
      <c r="N350" s="74">
        <v>3.31</v>
      </c>
      <c r="O350" s="74">
        <v>7.76</v>
      </c>
      <c r="P350" s="72">
        <f t="shared" si="5"/>
        <v>16.129032258064516</v>
      </c>
    </row>
    <row r="351" spans="1:16" x14ac:dyDescent="0.25">
      <c r="A351" s="69" t="s">
        <v>462</v>
      </c>
      <c r="B351" s="72">
        <v>27</v>
      </c>
      <c r="C351" s="69" t="s">
        <v>101</v>
      </c>
      <c r="D351" s="70">
        <v>6100</v>
      </c>
      <c r="E351" s="71">
        <v>200</v>
      </c>
      <c r="F351" s="71">
        <v>8</v>
      </c>
      <c r="G351" s="85">
        <v>6.2E-2</v>
      </c>
      <c r="H351" s="74">
        <v>1.49</v>
      </c>
      <c r="I351" s="74">
        <v>1.61</v>
      </c>
      <c r="J351" s="74">
        <v>0.17</v>
      </c>
      <c r="K351" s="74">
        <v>0.42</v>
      </c>
      <c r="L351" s="74">
        <v>3.71</v>
      </c>
      <c r="M351" s="74">
        <v>0.26</v>
      </c>
      <c r="N351" s="74">
        <v>3.31</v>
      </c>
      <c r="O351" s="74">
        <v>7.29</v>
      </c>
      <c r="P351" s="72">
        <f t="shared" si="5"/>
        <v>16.129032258064516</v>
      </c>
    </row>
    <row r="352" spans="1:16" x14ac:dyDescent="0.25">
      <c r="A352" s="69" t="s">
        <v>463</v>
      </c>
      <c r="B352" s="72">
        <v>40</v>
      </c>
      <c r="C352" s="69" t="s">
        <v>101</v>
      </c>
      <c r="D352" s="70">
        <v>10700</v>
      </c>
      <c r="E352" s="71">
        <v>200</v>
      </c>
      <c r="F352" s="71">
        <v>8</v>
      </c>
      <c r="G352" s="85">
        <v>4.2000000000000003E-2</v>
      </c>
      <c r="H352" s="74">
        <v>1</v>
      </c>
      <c r="I352" s="74">
        <v>1.08</v>
      </c>
      <c r="J352" s="74">
        <v>0.21</v>
      </c>
      <c r="K352" s="74">
        <v>0.28000000000000003</v>
      </c>
      <c r="L352" s="74">
        <v>2.59</v>
      </c>
      <c r="M352" s="74">
        <v>0.31</v>
      </c>
      <c r="N352" s="74">
        <v>2.23</v>
      </c>
      <c r="O352" s="74">
        <v>5.14</v>
      </c>
      <c r="P352" s="72">
        <f t="shared" si="5"/>
        <v>23.809523809523807</v>
      </c>
    </row>
    <row r="353" spans="1:16" x14ac:dyDescent="0.25">
      <c r="A353" s="69" t="s">
        <v>464</v>
      </c>
      <c r="B353" s="72">
        <v>50</v>
      </c>
      <c r="C353" s="69" t="s">
        <v>101</v>
      </c>
      <c r="D353" s="70">
        <v>9900</v>
      </c>
      <c r="E353" s="71">
        <v>200</v>
      </c>
      <c r="F353" s="71">
        <v>8</v>
      </c>
      <c r="G353" s="85">
        <v>3.3000000000000002E-2</v>
      </c>
      <c r="H353" s="74">
        <v>0.8</v>
      </c>
      <c r="I353" s="74">
        <v>0.87</v>
      </c>
      <c r="J353" s="74">
        <v>0.15</v>
      </c>
      <c r="K353" s="74">
        <v>0.23</v>
      </c>
      <c r="L353" s="74">
        <v>2.06</v>
      </c>
      <c r="M353" s="74">
        <v>0.23</v>
      </c>
      <c r="N353" s="74">
        <v>1.78</v>
      </c>
      <c r="O353" s="74">
        <v>4.08</v>
      </c>
      <c r="P353" s="72">
        <f t="shared" si="5"/>
        <v>30.303030303030301</v>
      </c>
    </row>
    <row r="354" spans="1:16" x14ac:dyDescent="0.25">
      <c r="A354" s="69" t="s">
        <v>465</v>
      </c>
      <c r="B354" s="72">
        <v>60</v>
      </c>
      <c r="C354" s="69" t="s">
        <v>101</v>
      </c>
      <c r="D354" s="70">
        <v>18600</v>
      </c>
      <c r="E354" s="71">
        <v>200</v>
      </c>
      <c r="F354" s="71">
        <v>8</v>
      </c>
      <c r="G354" s="85">
        <v>2.8000000000000001E-2</v>
      </c>
      <c r="H354" s="74">
        <v>0.67</v>
      </c>
      <c r="I354" s="74">
        <v>0.72</v>
      </c>
      <c r="J354" s="74">
        <v>0.24</v>
      </c>
      <c r="K354" s="74">
        <v>0.19</v>
      </c>
      <c r="L354" s="74">
        <v>1.83</v>
      </c>
      <c r="M354" s="74">
        <v>0.36</v>
      </c>
      <c r="N354" s="74">
        <v>1.48</v>
      </c>
      <c r="O354" s="74">
        <v>3.69</v>
      </c>
      <c r="P354" s="72">
        <f t="shared" si="5"/>
        <v>35.714285714285715</v>
      </c>
    </row>
    <row r="355" spans="1:16" x14ac:dyDescent="0.25">
      <c r="A355" s="69" t="s">
        <v>466</v>
      </c>
      <c r="B355" s="72">
        <f>(8*30)/12</f>
        <v>20</v>
      </c>
      <c r="C355" s="69" t="s">
        <v>101</v>
      </c>
      <c r="D355" s="70">
        <v>19800</v>
      </c>
      <c r="E355" s="71">
        <v>200</v>
      </c>
      <c r="F355" s="71">
        <v>8</v>
      </c>
      <c r="G355" s="85">
        <v>8.4000000000000005E-2</v>
      </c>
      <c r="H355" s="74">
        <v>2.0099999999999998</v>
      </c>
      <c r="I355" s="74">
        <v>2.17</v>
      </c>
      <c r="J355" s="74">
        <v>0.78</v>
      </c>
      <c r="K355" s="74">
        <v>0.56999999999999995</v>
      </c>
      <c r="L355" s="74">
        <v>5.55</v>
      </c>
      <c r="M355" s="74">
        <v>1.17</v>
      </c>
      <c r="N355" s="74">
        <v>4.46</v>
      </c>
      <c r="O355" s="74">
        <v>11.19</v>
      </c>
      <c r="P355" s="72">
        <f t="shared" si="5"/>
        <v>11.904761904761903</v>
      </c>
    </row>
    <row r="356" spans="1:16" x14ac:dyDescent="0.25">
      <c r="A356" s="69" t="s">
        <v>467</v>
      </c>
      <c r="B356" s="72">
        <f>(8*38)/12</f>
        <v>25.333333333333332</v>
      </c>
      <c r="C356" s="69" t="s">
        <v>101</v>
      </c>
      <c r="D356" s="70">
        <v>20600</v>
      </c>
      <c r="E356" s="71">
        <v>200</v>
      </c>
      <c r="F356" s="71">
        <v>8</v>
      </c>
      <c r="G356" s="85">
        <v>6.6000000000000003E-2</v>
      </c>
      <c r="H356" s="74">
        <v>1.59</v>
      </c>
      <c r="I356" s="74">
        <v>1.72</v>
      </c>
      <c r="J356" s="74">
        <v>0.64</v>
      </c>
      <c r="K356" s="74">
        <v>0.45</v>
      </c>
      <c r="L356" s="74">
        <v>4.41</v>
      </c>
      <c r="M356" s="74">
        <v>0.96</v>
      </c>
      <c r="N356" s="74">
        <v>3.53</v>
      </c>
      <c r="O356" s="74">
        <v>8.91</v>
      </c>
      <c r="P356" s="72">
        <f t="shared" si="5"/>
        <v>15.15151515151515</v>
      </c>
    </row>
    <row r="357" spans="1:16" x14ac:dyDescent="0.25">
      <c r="A357" s="69" t="s">
        <v>468</v>
      </c>
      <c r="B357" s="72">
        <f>(12*30)/12</f>
        <v>30</v>
      </c>
      <c r="C357" s="69" t="s">
        <v>101</v>
      </c>
      <c r="D357" s="70">
        <v>27100</v>
      </c>
      <c r="E357" s="71">
        <v>200</v>
      </c>
      <c r="F357" s="71">
        <v>8</v>
      </c>
      <c r="G357" s="85">
        <v>5.6000000000000001E-2</v>
      </c>
      <c r="H357" s="74">
        <v>1.34</v>
      </c>
      <c r="I357" s="74">
        <v>1.45</v>
      </c>
      <c r="J357" s="74">
        <v>0.71</v>
      </c>
      <c r="K357" s="74">
        <v>0.38</v>
      </c>
      <c r="L357" s="74">
        <v>3.89</v>
      </c>
      <c r="M357" s="74">
        <v>1.07</v>
      </c>
      <c r="N357" s="74">
        <v>2.97</v>
      </c>
      <c r="O357" s="74">
        <v>7.94</v>
      </c>
      <c r="P357" s="72">
        <f t="shared" si="5"/>
        <v>17.857142857142858</v>
      </c>
    </row>
    <row r="358" spans="1:16" x14ac:dyDescent="0.25">
      <c r="A358" s="69" t="s">
        <v>469</v>
      </c>
      <c r="B358" s="72">
        <f>(12*38)/12</f>
        <v>38</v>
      </c>
      <c r="C358" s="69" t="s">
        <v>101</v>
      </c>
      <c r="D358" s="70">
        <v>28200</v>
      </c>
      <c r="E358" s="71">
        <v>200</v>
      </c>
      <c r="F358" s="71">
        <v>8</v>
      </c>
      <c r="G358" s="85">
        <v>4.3999999999999997E-2</v>
      </c>
      <c r="H358" s="74">
        <v>1.06</v>
      </c>
      <c r="I358" s="74">
        <v>1.1399999999999999</v>
      </c>
      <c r="J358" s="74">
        <v>0.57999999999999996</v>
      </c>
      <c r="K358" s="74">
        <v>0.3</v>
      </c>
      <c r="L358" s="74">
        <v>3.09</v>
      </c>
      <c r="M358" s="74">
        <v>0.88</v>
      </c>
      <c r="N358" s="74">
        <v>2.35</v>
      </c>
      <c r="O358" s="74">
        <v>6.33</v>
      </c>
      <c r="P358" s="72">
        <f t="shared" si="5"/>
        <v>22.72727272727273</v>
      </c>
    </row>
    <row r="359" spans="1:16" x14ac:dyDescent="0.25">
      <c r="A359" s="69" t="s">
        <v>470</v>
      </c>
      <c r="B359" s="72">
        <f>(8*30)/12</f>
        <v>20</v>
      </c>
      <c r="C359" s="69" t="s">
        <v>101</v>
      </c>
      <c r="D359" s="70">
        <v>19500</v>
      </c>
      <c r="E359" s="71">
        <v>200</v>
      </c>
      <c r="F359" s="71">
        <v>8</v>
      </c>
      <c r="G359" s="85">
        <v>8.4000000000000005E-2</v>
      </c>
      <c r="H359" s="74">
        <v>2.0099999999999998</v>
      </c>
      <c r="I359" s="74">
        <v>2.17</v>
      </c>
      <c r="J359" s="74">
        <v>0.77</v>
      </c>
      <c r="K359" s="74">
        <v>0.56999999999999995</v>
      </c>
      <c r="L359" s="74">
        <v>5.54</v>
      </c>
      <c r="M359" s="74">
        <v>1.1499999999999999</v>
      </c>
      <c r="N359" s="74">
        <v>4.46</v>
      </c>
      <c r="O359" s="74">
        <v>11.17</v>
      </c>
      <c r="P359" s="72">
        <f t="shared" si="5"/>
        <v>11.904761904761903</v>
      </c>
    </row>
    <row r="360" spans="1:16" x14ac:dyDescent="0.25">
      <c r="A360" s="69" t="s">
        <v>471</v>
      </c>
      <c r="B360" s="72">
        <f>(8*38)/12</f>
        <v>25.333333333333332</v>
      </c>
      <c r="C360" s="69" t="s">
        <v>101</v>
      </c>
      <c r="D360" s="70">
        <v>19500</v>
      </c>
      <c r="E360" s="71">
        <v>200</v>
      </c>
      <c r="F360" s="71">
        <v>8</v>
      </c>
      <c r="G360" s="85">
        <v>6.6000000000000003E-2</v>
      </c>
      <c r="H360" s="74">
        <v>1.59</v>
      </c>
      <c r="I360" s="74">
        <v>1.72</v>
      </c>
      <c r="J360" s="74">
        <v>0.61</v>
      </c>
      <c r="K360" s="74">
        <v>0.45</v>
      </c>
      <c r="L360" s="74">
        <v>4.38</v>
      </c>
      <c r="M360" s="74">
        <v>0.91</v>
      </c>
      <c r="N360" s="74">
        <v>3.53</v>
      </c>
      <c r="O360" s="74">
        <v>8.82</v>
      </c>
      <c r="P360" s="72">
        <f t="shared" si="5"/>
        <v>15.15151515151515</v>
      </c>
    </row>
    <row r="361" spans="1:16" x14ac:dyDescent="0.25">
      <c r="A361" s="69" t="s">
        <v>472</v>
      </c>
      <c r="B361" s="72">
        <f>(8*38)/12</f>
        <v>25.333333333333332</v>
      </c>
      <c r="C361" s="69" t="s">
        <v>101</v>
      </c>
      <c r="D361" s="70">
        <v>29500</v>
      </c>
      <c r="E361" s="71">
        <v>200</v>
      </c>
      <c r="F361" s="71">
        <v>8</v>
      </c>
      <c r="G361" s="85">
        <v>4.3999999999999997E-2</v>
      </c>
      <c r="H361" s="74">
        <v>1.06</v>
      </c>
      <c r="I361" s="74">
        <v>1.1399999999999999</v>
      </c>
      <c r="J361" s="74">
        <v>0.61</v>
      </c>
      <c r="K361" s="74">
        <v>0.3</v>
      </c>
      <c r="L361" s="74">
        <v>3.12</v>
      </c>
      <c r="M361" s="74">
        <v>0.92</v>
      </c>
      <c r="N361" s="74">
        <v>2.35</v>
      </c>
      <c r="O361" s="74">
        <v>6.39</v>
      </c>
      <c r="P361" s="72">
        <f t="shared" si="5"/>
        <v>22.72727272727273</v>
      </c>
    </row>
    <row r="362" spans="1:16" x14ac:dyDescent="0.25">
      <c r="A362" s="69" t="s">
        <v>473</v>
      </c>
      <c r="B362" s="72">
        <f>(12*30)/12</f>
        <v>30</v>
      </c>
      <c r="C362" s="69" t="s">
        <v>101</v>
      </c>
      <c r="D362" s="70">
        <v>29500</v>
      </c>
      <c r="E362" s="71">
        <v>200</v>
      </c>
      <c r="F362" s="71">
        <v>8</v>
      </c>
      <c r="G362" s="85">
        <v>5.6000000000000001E-2</v>
      </c>
      <c r="H362" s="74">
        <v>1.34</v>
      </c>
      <c r="I362" s="74">
        <v>1.45</v>
      </c>
      <c r="J362" s="74">
        <v>0.78</v>
      </c>
      <c r="K362" s="74">
        <v>0.38</v>
      </c>
      <c r="L362" s="74">
        <v>3.95</v>
      </c>
      <c r="M362" s="74">
        <v>1.1599999999999999</v>
      </c>
      <c r="N362" s="74">
        <v>2.97</v>
      </c>
      <c r="O362" s="74">
        <v>8.1</v>
      </c>
      <c r="P362" s="72">
        <f t="shared" si="5"/>
        <v>17.857142857142858</v>
      </c>
    </row>
    <row r="363" spans="1:16" x14ac:dyDescent="0.25">
      <c r="A363" s="69" t="s">
        <v>474</v>
      </c>
      <c r="B363" s="72">
        <f>(12*38)/12</f>
        <v>38</v>
      </c>
      <c r="C363" s="69" t="s">
        <v>101</v>
      </c>
      <c r="D363" s="70">
        <v>29500</v>
      </c>
      <c r="E363" s="71">
        <v>200</v>
      </c>
      <c r="F363" s="71">
        <v>8</v>
      </c>
      <c r="G363" s="85">
        <v>4.3999999999999997E-2</v>
      </c>
      <c r="H363" s="74">
        <v>1.06</v>
      </c>
      <c r="I363" s="74">
        <v>1.1399999999999999</v>
      </c>
      <c r="J363" s="74">
        <v>0.61</v>
      </c>
      <c r="K363" s="74">
        <v>0.3</v>
      </c>
      <c r="L363" s="74">
        <v>3.12</v>
      </c>
      <c r="M363" s="74">
        <v>0.92</v>
      </c>
      <c r="N363" s="74">
        <v>2.35</v>
      </c>
      <c r="O363" s="74">
        <v>6.39</v>
      </c>
      <c r="P363" s="72">
        <f t="shared" si="5"/>
        <v>22.72727272727273</v>
      </c>
    </row>
    <row r="364" spans="1:16" x14ac:dyDescent="0.25">
      <c r="A364" s="69" t="s">
        <v>475</v>
      </c>
      <c r="B364" s="72">
        <f>(16*20)/12</f>
        <v>26.666666666666668</v>
      </c>
      <c r="C364" s="69" t="s">
        <v>106</v>
      </c>
      <c r="D364" s="70">
        <v>34600</v>
      </c>
      <c r="E364" s="71">
        <v>200</v>
      </c>
      <c r="F364" s="71">
        <v>8</v>
      </c>
      <c r="G364" s="85">
        <v>6.2E-2</v>
      </c>
      <c r="H364" s="74">
        <v>1.49</v>
      </c>
      <c r="I364" s="74">
        <v>2.13</v>
      </c>
      <c r="J364" s="74">
        <v>1.01</v>
      </c>
      <c r="K364" s="74">
        <v>0.6</v>
      </c>
      <c r="L364" s="74">
        <v>5.24</v>
      </c>
      <c r="M364" s="74">
        <v>1.52</v>
      </c>
      <c r="N364" s="74">
        <v>4.6500000000000004</v>
      </c>
      <c r="O364" s="74">
        <v>11.41</v>
      </c>
      <c r="P364" s="72">
        <f t="shared" si="5"/>
        <v>16.129032258064516</v>
      </c>
    </row>
    <row r="365" spans="1:16" x14ac:dyDescent="0.25">
      <c r="A365" s="69" t="s">
        <v>476</v>
      </c>
      <c r="B365" s="72">
        <v>50</v>
      </c>
      <c r="C365" s="69" t="s">
        <v>106</v>
      </c>
      <c r="D365" s="70">
        <v>21100</v>
      </c>
      <c r="E365" s="71">
        <v>200</v>
      </c>
      <c r="F365" s="71">
        <v>8</v>
      </c>
      <c r="G365" s="85">
        <v>3.3000000000000002E-2</v>
      </c>
      <c r="H365" s="74">
        <v>0.8</v>
      </c>
      <c r="I365" s="74">
        <v>1.1499999999999999</v>
      </c>
      <c r="J365" s="74">
        <v>0.33</v>
      </c>
      <c r="K365" s="74">
        <v>0.32</v>
      </c>
      <c r="L365" s="74">
        <v>2.61</v>
      </c>
      <c r="M365" s="74">
        <v>0.5</v>
      </c>
      <c r="N365" s="74">
        <v>2.5099999999999998</v>
      </c>
      <c r="O365" s="74">
        <v>5.63</v>
      </c>
      <c r="P365" s="72">
        <f t="shared" si="5"/>
        <v>30.303030303030301</v>
      </c>
    </row>
    <row r="366" spans="1:16" x14ac:dyDescent="0.25">
      <c r="A366" s="69" t="s">
        <v>477</v>
      </c>
      <c r="B366" s="72">
        <v>60</v>
      </c>
      <c r="C366" s="69" t="s">
        <v>106</v>
      </c>
      <c r="D366" s="70">
        <v>75100</v>
      </c>
      <c r="E366" s="71">
        <v>200</v>
      </c>
      <c r="F366" s="71">
        <v>8</v>
      </c>
      <c r="G366" s="85">
        <v>2.8000000000000001E-2</v>
      </c>
      <c r="H366" s="74">
        <v>0.67</v>
      </c>
      <c r="I366" s="74">
        <v>0.96</v>
      </c>
      <c r="J366" s="74">
        <v>0.99</v>
      </c>
      <c r="K366" s="74">
        <v>0.27</v>
      </c>
      <c r="L366" s="74">
        <v>2.89</v>
      </c>
      <c r="M366" s="74">
        <v>1.48</v>
      </c>
      <c r="N366" s="74">
        <v>2.09</v>
      </c>
      <c r="O366" s="74">
        <v>6.47</v>
      </c>
      <c r="P366" s="72">
        <f t="shared" si="5"/>
        <v>35.714285714285715</v>
      </c>
    </row>
    <row r="367" spans="1:16" x14ac:dyDescent="0.25">
      <c r="A367" s="69" t="s">
        <v>478</v>
      </c>
      <c r="B367" s="72">
        <v>80</v>
      </c>
      <c r="C367" s="69" t="s">
        <v>106</v>
      </c>
      <c r="D367" s="70">
        <v>69400</v>
      </c>
      <c r="E367" s="71">
        <v>200</v>
      </c>
      <c r="F367" s="71">
        <v>8</v>
      </c>
      <c r="G367" s="85">
        <v>2.1000000000000001E-2</v>
      </c>
      <c r="H367" s="74">
        <v>0.5</v>
      </c>
      <c r="I367" s="74">
        <v>0.72</v>
      </c>
      <c r="J367" s="74">
        <v>0.68</v>
      </c>
      <c r="K367" s="74">
        <v>0.2</v>
      </c>
      <c r="L367" s="74">
        <v>2.11</v>
      </c>
      <c r="M367" s="74">
        <v>1.03</v>
      </c>
      <c r="N367" s="74">
        <v>1.56</v>
      </c>
      <c r="O367" s="74">
        <v>4.71</v>
      </c>
      <c r="P367" s="72">
        <f t="shared" si="5"/>
        <v>47.619047619047613</v>
      </c>
    </row>
    <row r="368" spans="1:16" x14ac:dyDescent="0.25">
      <c r="A368" s="69" t="s">
        <v>479</v>
      </c>
      <c r="B368" s="72">
        <v>90</v>
      </c>
      <c r="C368" s="69" t="s">
        <v>106</v>
      </c>
      <c r="D368" s="70">
        <v>70400</v>
      </c>
      <c r="E368" s="71">
        <v>200</v>
      </c>
      <c r="F368" s="71">
        <v>8</v>
      </c>
      <c r="G368" s="85">
        <v>1.7999999999999999E-2</v>
      </c>
      <c r="H368" s="74">
        <v>0.44</v>
      </c>
      <c r="I368" s="74">
        <v>0.64</v>
      </c>
      <c r="J368" s="74">
        <v>0.62</v>
      </c>
      <c r="K368" s="74">
        <v>0.18</v>
      </c>
      <c r="L368" s="74">
        <v>1.88</v>
      </c>
      <c r="M368" s="74">
        <v>0.92</v>
      </c>
      <c r="N368" s="74">
        <v>1.39</v>
      </c>
      <c r="O368" s="74">
        <v>4.21</v>
      </c>
      <c r="P368" s="72">
        <f t="shared" si="5"/>
        <v>55.555555555555557</v>
      </c>
    </row>
    <row r="369" spans="1:16" x14ac:dyDescent="0.25">
      <c r="A369" s="69" t="s">
        <v>480</v>
      </c>
      <c r="B369" s="72">
        <v>120</v>
      </c>
      <c r="C369" s="69" t="s">
        <v>106</v>
      </c>
      <c r="D369" s="70">
        <v>121000</v>
      </c>
      <c r="E369" s="71">
        <v>200</v>
      </c>
      <c r="F369" s="71">
        <v>8</v>
      </c>
      <c r="G369" s="85">
        <v>1.4E-2</v>
      </c>
      <c r="H369" s="74">
        <v>0.33</v>
      </c>
      <c r="I369" s="74">
        <v>0.48</v>
      </c>
      <c r="J369" s="74">
        <v>0.79</v>
      </c>
      <c r="K369" s="74">
        <v>0.13</v>
      </c>
      <c r="L369" s="74">
        <v>1.75</v>
      </c>
      <c r="M369" s="74">
        <v>1.19</v>
      </c>
      <c r="N369" s="74">
        <v>1.04</v>
      </c>
      <c r="O369" s="74">
        <v>3.99</v>
      </c>
      <c r="P369" s="72">
        <f t="shared" si="5"/>
        <v>71.428571428571431</v>
      </c>
    </row>
    <row r="370" spans="1:16" x14ac:dyDescent="0.25">
      <c r="A370" s="69" t="s">
        <v>481</v>
      </c>
      <c r="B370" s="72">
        <v>20</v>
      </c>
      <c r="C370" s="69" t="s">
        <v>103</v>
      </c>
      <c r="D370" s="70">
        <v>3800</v>
      </c>
      <c r="E370" s="71">
        <v>200</v>
      </c>
      <c r="F370" s="71">
        <v>8</v>
      </c>
      <c r="G370" s="85">
        <v>8.4000000000000005E-2</v>
      </c>
      <c r="H370" s="74">
        <v>2.0099999999999998</v>
      </c>
      <c r="I370" s="74">
        <v>2.4300000000000002</v>
      </c>
      <c r="J370" s="74">
        <v>0.15</v>
      </c>
      <c r="K370" s="74">
        <v>0.74</v>
      </c>
      <c r="L370" s="74">
        <v>5.34</v>
      </c>
      <c r="M370" s="74">
        <v>0.22</v>
      </c>
      <c r="N370" s="74">
        <v>5.74</v>
      </c>
      <c r="O370" s="74">
        <v>11.31</v>
      </c>
      <c r="P370" s="72">
        <f t="shared" si="5"/>
        <v>11.904761904761903</v>
      </c>
    </row>
    <row r="371" spans="1:16" x14ac:dyDescent="0.25">
      <c r="A371" s="69" t="s">
        <v>482</v>
      </c>
      <c r="B371" s="72">
        <v>27</v>
      </c>
      <c r="C371" s="69" t="s">
        <v>101</v>
      </c>
      <c r="D371" s="70">
        <v>6100</v>
      </c>
      <c r="E371" s="71">
        <v>200</v>
      </c>
      <c r="F371" s="71">
        <v>8</v>
      </c>
      <c r="G371" s="85">
        <v>6.2E-2</v>
      </c>
      <c r="H371" s="74">
        <v>1.49</v>
      </c>
      <c r="I371" s="74">
        <v>1.61</v>
      </c>
      <c r="J371" s="74">
        <v>0.17</v>
      </c>
      <c r="K371" s="74">
        <v>0.42</v>
      </c>
      <c r="L371" s="74">
        <v>3.71</v>
      </c>
      <c r="M371" s="74">
        <v>0.26</v>
      </c>
      <c r="N371" s="74">
        <v>3.31</v>
      </c>
      <c r="O371" s="74">
        <v>7.29</v>
      </c>
      <c r="P371" s="72">
        <f t="shared" si="5"/>
        <v>16.129032258064516</v>
      </c>
    </row>
    <row r="372" spans="1:16" x14ac:dyDescent="0.25">
      <c r="A372" s="69" t="s">
        <v>483</v>
      </c>
      <c r="B372" s="72">
        <v>40</v>
      </c>
      <c r="C372" s="69" t="s">
        <v>101</v>
      </c>
      <c r="D372" s="70">
        <v>10700</v>
      </c>
      <c r="E372" s="71">
        <v>200</v>
      </c>
      <c r="F372" s="71">
        <v>8</v>
      </c>
      <c r="G372" s="85">
        <v>4.2000000000000003E-2</v>
      </c>
      <c r="H372" s="74">
        <v>1</v>
      </c>
      <c r="I372" s="74">
        <v>1.08</v>
      </c>
      <c r="J372" s="74">
        <v>0.21</v>
      </c>
      <c r="K372" s="74">
        <v>0.28000000000000003</v>
      </c>
      <c r="L372" s="74">
        <v>2.59</v>
      </c>
      <c r="M372" s="74">
        <v>0.31</v>
      </c>
      <c r="N372" s="74">
        <v>2.23</v>
      </c>
      <c r="O372" s="74">
        <v>5.14</v>
      </c>
      <c r="P372" s="72">
        <f t="shared" si="5"/>
        <v>23.809523809523807</v>
      </c>
    </row>
    <row r="373" spans="1:16" x14ac:dyDescent="0.25">
      <c r="A373" s="69" t="s">
        <v>484</v>
      </c>
      <c r="B373" s="72">
        <v>50</v>
      </c>
      <c r="C373" s="69" t="s">
        <v>101</v>
      </c>
      <c r="D373" s="70">
        <v>9900</v>
      </c>
      <c r="E373" s="71">
        <v>200</v>
      </c>
      <c r="F373" s="71">
        <v>8</v>
      </c>
      <c r="G373" s="85">
        <v>3.3000000000000002E-2</v>
      </c>
      <c r="H373" s="74">
        <v>0.8</v>
      </c>
      <c r="I373" s="74">
        <v>0.87</v>
      </c>
      <c r="J373" s="74">
        <v>0.15</v>
      </c>
      <c r="K373" s="74">
        <v>0.23</v>
      </c>
      <c r="L373" s="74">
        <v>2.06</v>
      </c>
      <c r="M373" s="74">
        <v>0.23</v>
      </c>
      <c r="N373" s="74">
        <v>1.78</v>
      </c>
      <c r="O373" s="74">
        <v>4.08</v>
      </c>
      <c r="P373" s="72">
        <f t="shared" si="5"/>
        <v>30.303030303030301</v>
      </c>
    </row>
    <row r="374" spans="1:16" x14ac:dyDescent="0.25">
      <c r="A374" s="69" t="s">
        <v>485</v>
      </c>
      <c r="B374" s="72">
        <v>60</v>
      </c>
      <c r="C374" s="69" t="s">
        <v>106</v>
      </c>
      <c r="D374" s="70">
        <v>18600</v>
      </c>
      <c r="E374" s="71">
        <v>200</v>
      </c>
      <c r="F374" s="71">
        <v>8</v>
      </c>
      <c r="G374" s="85">
        <v>2.8000000000000001E-2</v>
      </c>
      <c r="H374" s="74">
        <v>0.67</v>
      </c>
      <c r="I374" s="74">
        <v>0.96</v>
      </c>
      <c r="J374" s="74">
        <v>0.24</v>
      </c>
      <c r="K374" s="74">
        <v>0.27</v>
      </c>
      <c r="L374" s="74">
        <v>2.14</v>
      </c>
      <c r="M374" s="74">
        <v>0.36</v>
      </c>
      <c r="N374" s="74">
        <v>2.09</v>
      </c>
      <c r="O374" s="74">
        <v>4.6100000000000003</v>
      </c>
      <c r="P374" s="72">
        <f t="shared" si="5"/>
        <v>35.714285714285715</v>
      </c>
    </row>
    <row r="375" spans="1:16" x14ac:dyDescent="0.25">
      <c r="A375" s="62" t="s">
        <v>486</v>
      </c>
      <c r="B375" s="65">
        <v>14</v>
      </c>
      <c r="C375" s="62" t="s">
        <v>99</v>
      </c>
      <c r="D375" s="63">
        <v>37500</v>
      </c>
      <c r="E375" s="64">
        <v>200</v>
      </c>
      <c r="F375" s="64">
        <v>10</v>
      </c>
      <c r="G375" s="84">
        <v>0.11700000000000001</v>
      </c>
      <c r="H375" s="67">
        <v>2.27</v>
      </c>
      <c r="I375" s="67">
        <v>2.67</v>
      </c>
      <c r="J375" s="67">
        <v>3.86</v>
      </c>
      <c r="K375" s="67">
        <v>0.71</v>
      </c>
      <c r="L375" s="67">
        <v>9.52</v>
      </c>
      <c r="M375" s="67">
        <v>2.92</v>
      </c>
      <c r="N375" s="67">
        <v>5.34</v>
      </c>
      <c r="O375" s="67">
        <v>17.79</v>
      </c>
      <c r="P375" s="65">
        <f t="shared" si="5"/>
        <v>8.5470085470085468</v>
      </c>
    </row>
    <row r="376" spans="1:16" x14ac:dyDescent="0.25">
      <c r="A376" s="62" t="s">
        <v>487</v>
      </c>
      <c r="B376" s="65">
        <v>12</v>
      </c>
      <c r="C376" s="62" t="s">
        <v>99</v>
      </c>
      <c r="D376" s="63">
        <v>32700</v>
      </c>
      <c r="E376" s="64">
        <v>200</v>
      </c>
      <c r="F376" s="64">
        <v>10</v>
      </c>
      <c r="G376" s="84">
        <v>0.13700000000000001</v>
      </c>
      <c r="H376" s="67">
        <v>2.65</v>
      </c>
      <c r="I376" s="67">
        <v>3.12</v>
      </c>
      <c r="J376" s="67">
        <v>3.93</v>
      </c>
      <c r="K376" s="67">
        <v>0.83</v>
      </c>
      <c r="L376" s="67">
        <v>10.53</v>
      </c>
      <c r="M376" s="67">
        <v>2.97</v>
      </c>
      <c r="N376" s="67">
        <v>6.23</v>
      </c>
      <c r="O376" s="67">
        <v>19.739999999999998</v>
      </c>
      <c r="P376" s="65">
        <f t="shared" si="5"/>
        <v>7.2992700729926998</v>
      </c>
    </row>
    <row r="377" spans="1:16" x14ac:dyDescent="0.25">
      <c r="A377" s="62" t="s">
        <v>488</v>
      </c>
      <c r="B377" s="65">
        <v>15</v>
      </c>
      <c r="C377" s="62" t="s">
        <v>99</v>
      </c>
      <c r="D377" s="63">
        <v>36100</v>
      </c>
      <c r="E377" s="64">
        <v>200</v>
      </c>
      <c r="F377" s="64">
        <v>10</v>
      </c>
      <c r="G377" s="84">
        <v>0.11</v>
      </c>
      <c r="H377" s="67">
        <v>2.12</v>
      </c>
      <c r="I377" s="67">
        <v>2.4900000000000002</v>
      </c>
      <c r="J377" s="67">
        <v>3.47</v>
      </c>
      <c r="K377" s="67">
        <v>0.66</v>
      </c>
      <c r="L377" s="67">
        <v>8.75</v>
      </c>
      <c r="M377" s="67">
        <v>2.62</v>
      </c>
      <c r="N377" s="67">
        <v>4.99</v>
      </c>
      <c r="O377" s="67">
        <v>16.37</v>
      </c>
      <c r="P377" s="65">
        <f t="shared" si="5"/>
        <v>9.0909090909090917</v>
      </c>
    </row>
    <row r="378" spans="1:16" x14ac:dyDescent="0.25">
      <c r="A378" s="62" t="s">
        <v>489</v>
      </c>
      <c r="B378" s="65">
        <v>18</v>
      </c>
      <c r="C378" s="62" t="s">
        <v>99</v>
      </c>
      <c r="D378" s="63">
        <v>53600</v>
      </c>
      <c r="E378" s="64">
        <v>200</v>
      </c>
      <c r="F378" s="64">
        <v>10</v>
      </c>
      <c r="G378" s="84">
        <v>9.0999999999999998E-2</v>
      </c>
      <c r="H378" s="67">
        <v>1.76</v>
      </c>
      <c r="I378" s="67">
        <v>2.08</v>
      </c>
      <c r="J378" s="67">
        <v>4.29</v>
      </c>
      <c r="K378" s="67">
        <v>0.55000000000000004</v>
      </c>
      <c r="L378" s="67">
        <v>8.6999999999999993</v>
      </c>
      <c r="M378" s="67">
        <v>3.24</v>
      </c>
      <c r="N378" s="67">
        <v>4.1500000000000004</v>
      </c>
      <c r="O378" s="67">
        <v>16.100000000000001</v>
      </c>
      <c r="P378" s="65">
        <f t="shared" si="5"/>
        <v>10.989010989010989</v>
      </c>
    </row>
    <row r="379" spans="1:16" x14ac:dyDescent="0.25">
      <c r="A379" s="62" t="s">
        <v>490</v>
      </c>
      <c r="B379" s="65">
        <v>20</v>
      </c>
      <c r="C379" s="62" t="s">
        <v>99</v>
      </c>
      <c r="D379" s="63">
        <v>47600</v>
      </c>
      <c r="E379" s="64">
        <v>200</v>
      </c>
      <c r="F379" s="64">
        <v>10</v>
      </c>
      <c r="G379" s="84">
        <v>8.2000000000000003E-2</v>
      </c>
      <c r="H379" s="67">
        <v>1.59</v>
      </c>
      <c r="I379" s="67">
        <v>1.87</v>
      </c>
      <c r="J379" s="67">
        <v>3.43</v>
      </c>
      <c r="K379" s="67">
        <v>0.49</v>
      </c>
      <c r="L379" s="67">
        <v>7.39</v>
      </c>
      <c r="M379" s="67">
        <v>2.59</v>
      </c>
      <c r="N379" s="67">
        <v>3.74</v>
      </c>
      <c r="O379" s="67">
        <v>13.73</v>
      </c>
      <c r="P379" s="65">
        <f t="shared" si="5"/>
        <v>12.195121951219512</v>
      </c>
    </row>
    <row r="380" spans="1:16" x14ac:dyDescent="0.25">
      <c r="A380" s="62" t="s">
        <v>491</v>
      </c>
      <c r="B380" s="65">
        <v>25</v>
      </c>
      <c r="C380" s="62" t="s">
        <v>99</v>
      </c>
      <c r="D380" s="63">
        <v>72200</v>
      </c>
      <c r="E380" s="64">
        <v>200</v>
      </c>
      <c r="F380" s="64">
        <v>10</v>
      </c>
      <c r="G380" s="84">
        <v>6.6000000000000003E-2</v>
      </c>
      <c r="H380" s="67">
        <v>1.27</v>
      </c>
      <c r="I380" s="67">
        <v>1.49</v>
      </c>
      <c r="J380" s="67">
        <v>4.16</v>
      </c>
      <c r="K380" s="67">
        <v>0.39</v>
      </c>
      <c r="L380" s="67">
        <v>7.34</v>
      </c>
      <c r="M380" s="67">
        <v>3.14</v>
      </c>
      <c r="N380" s="67">
        <v>2.99</v>
      </c>
      <c r="O380" s="67">
        <v>13.48</v>
      </c>
      <c r="P380" s="65">
        <f t="shared" si="5"/>
        <v>15.15151515151515</v>
      </c>
    </row>
    <row r="381" spans="1:16" x14ac:dyDescent="0.25">
      <c r="A381" s="62" t="s">
        <v>492</v>
      </c>
      <c r="B381" s="65">
        <v>20</v>
      </c>
      <c r="C381" s="62" t="s">
        <v>99</v>
      </c>
      <c r="D381" s="63">
        <v>33100</v>
      </c>
      <c r="E381" s="64">
        <v>200</v>
      </c>
      <c r="F381" s="64">
        <v>10</v>
      </c>
      <c r="G381" s="84">
        <v>8.2000000000000003E-2</v>
      </c>
      <c r="H381" s="67">
        <v>1.59</v>
      </c>
      <c r="I381" s="67">
        <v>1.87</v>
      </c>
      <c r="J381" s="67">
        <v>2.38</v>
      </c>
      <c r="K381" s="67">
        <v>0.49</v>
      </c>
      <c r="L381" s="67">
        <v>6.35</v>
      </c>
      <c r="M381" s="67">
        <v>1.8</v>
      </c>
      <c r="N381" s="67">
        <v>3.74</v>
      </c>
      <c r="O381" s="67">
        <v>11.9</v>
      </c>
      <c r="P381" s="65">
        <f t="shared" si="5"/>
        <v>12.195121951219512</v>
      </c>
    </row>
    <row r="382" spans="1:16" x14ac:dyDescent="0.25">
      <c r="A382" s="69" t="s">
        <v>493</v>
      </c>
      <c r="B382" s="72">
        <f>(8*38)/12</f>
        <v>25.333333333333332</v>
      </c>
      <c r="C382" s="69" t="s">
        <v>106</v>
      </c>
      <c r="D382" s="70">
        <v>71400</v>
      </c>
      <c r="E382" s="71">
        <v>150</v>
      </c>
      <c r="F382" s="71">
        <v>10</v>
      </c>
      <c r="G382" s="85">
        <v>6.0999999999999999E-2</v>
      </c>
      <c r="H382" s="74">
        <v>1.18</v>
      </c>
      <c r="I382" s="74">
        <v>2.09</v>
      </c>
      <c r="J382" s="74">
        <v>1.9</v>
      </c>
      <c r="K382" s="74">
        <v>0.59</v>
      </c>
      <c r="L382" s="74">
        <v>5.78</v>
      </c>
      <c r="M382" s="74">
        <v>3.87</v>
      </c>
      <c r="N382" s="74">
        <v>4.57</v>
      </c>
      <c r="O382" s="74">
        <v>14.23</v>
      </c>
      <c r="P382" s="72">
        <f t="shared" si="5"/>
        <v>16.393442622950818</v>
      </c>
    </row>
    <row r="383" spans="1:16" x14ac:dyDescent="0.25">
      <c r="A383" s="69" t="s">
        <v>494</v>
      </c>
      <c r="B383" s="72">
        <f>(12*30)/12</f>
        <v>30</v>
      </c>
      <c r="C383" s="69" t="s">
        <v>106</v>
      </c>
      <c r="D383" s="70">
        <v>121000</v>
      </c>
      <c r="E383" s="71">
        <v>150</v>
      </c>
      <c r="F383" s="71">
        <v>10</v>
      </c>
      <c r="G383" s="85">
        <v>6.0999999999999999E-2</v>
      </c>
      <c r="H383" s="74">
        <v>1.18</v>
      </c>
      <c r="I383" s="74">
        <v>2.09</v>
      </c>
      <c r="J383" s="74">
        <v>3.23</v>
      </c>
      <c r="K383" s="74">
        <v>0.59</v>
      </c>
      <c r="L383" s="74">
        <v>7.1</v>
      </c>
      <c r="M383" s="74">
        <v>6.57</v>
      </c>
      <c r="N383" s="74">
        <v>4.57</v>
      </c>
      <c r="O383" s="74">
        <v>18.25</v>
      </c>
      <c r="P383" s="72">
        <f t="shared" si="5"/>
        <v>16.393442622950818</v>
      </c>
    </row>
    <row r="384" spans="1:16" x14ac:dyDescent="0.25">
      <c r="A384" s="69" t="s">
        <v>495</v>
      </c>
      <c r="B384" s="72">
        <f>(12*40)/12</f>
        <v>40</v>
      </c>
      <c r="C384" s="69" t="s">
        <v>106</v>
      </c>
      <c r="D384" s="70">
        <v>122000</v>
      </c>
      <c r="E384" s="71">
        <v>150</v>
      </c>
      <c r="F384" s="71">
        <v>10</v>
      </c>
      <c r="G384" s="85">
        <v>4.5999999999999999E-2</v>
      </c>
      <c r="H384" s="74">
        <v>0.89</v>
      </c>
      <c r="I384" s="74">
        <v>1.57</v>
      </c>
      <c r="J384" s="74">
        <v>2.44</v>
      </c>
      <c r="K384" s="74">
        <v>0.44</v>
      </c>
      <c r="L384" s="74">
        <v>5.35</v>
      </c>
      <c r="M384" s="74">
        <v>4.96</v>
      </c>
      <c r="N384" s="74">
        <v>3.42</v>
      </c>
      <c r="O384" s="74">
        <v>13.75</v>
      </c>
      <c r="P384" s="72">
        <f t="shared" si="5"/>
        <v>21.739130434782609</v>
      </c>
    </row>
    <row r="385" spans="1:16" x14ac:dyDescent="0.25">
      <c r="A385" s="62" t="s">
        <v>496</v>
      </c>
      <c r="B385" s="65">
        <f>(3*38)/12</f>
        <v>9.5</v>
      </c>
      <c r="C385" s="62" t="s">
        <v>103</v>
      </c>
      <c r="D385" s="63">
        <v>6140</v>
      </c>
      <c r="E385" s="64">
        <v>100</v>
      </c>
      <c r="F385" s="64">
        <v>15</v>
      </c>
      <c r="G385" s="84">
        <v>0.20399999999999999</v>
      </c>
      <c r="H385" s="67">
        <v>3.93</v>
      </c>
      <c r="I385" s="67">
        <v>5.87</v>
      </c>
      <c r="J385" s="67">
        <v>0.41</v>
      </c>
      <c r="K385" s="67">
        <v>1.79</v>
      </c>
      <c r="L385" s="67">
        <v>12.02</v>
      </c>
      <c r="M385" s="67">
        <v>1.37</v>
      </c>
      <c r="N385" s="67">
        <v>13.87</v>
      </c>
      <c r="O385" s="67">
        <v>27.28</v>
      </c>
      <c r="P385" s="65">
        <f t="shared" si="5"/>
        <v>4.9019607843137258</v>
      </c>
    </row>
    <row r="386" spans="1:16" x14ac:dyDescent="0.25">
      <c r="A386" s="62" t="s">
        <v>497</v>
      </c>
      <c r="B386" s="65">
        <f>(4*38)/12</f>
        <v>12.666666666666666</v>
      </c>
      <c r="C386" s="62" t="s">
        <v>106</v>
      </c>
      <c r="D386" s="63">
        <v>14900</v>
      </c>
      <c r="E386" s="64">
        <v>100</v>
      </c>
      <c r="F386" s="64">
        <v>15</v>
      </c>
      <c r="G386" s="84">
        <v>0.153</v>
      </c>
      <c r="H386" s="67">
        <v>2.96</v>
      </c>
      <c r="I386" s="67">
        <v>5.23</v>
      </c>
      <c r="J386" s="67">
        <v>0.76</v>
      </c>
      <c r="K386" s="67">
        <v>1.47</v>
      </c>
      <c r="L386" s="67">
        <v>10.42</v>
      </c>
      <c r="M386" s="67">
        <v>2.5099999999999998</v>
      </c>
      <c r="N386" s="67">
        <v>11.39</v>
      </c>
      <c r="O386" s="67">
        <v>24.34</v>
      </c>
      <c r="P386" s="65">
        <f t="shared" si="5"/>
        <v>6.5359477124183005</v>
      </c>
    </row>
    <row r="387" spans="1:16" x14ac:dyDescent="0.25">
      <c r="A387" s="62" t="s">
        <v>498</v>
      </c>
      <c r="B387" s="65">
        <f>(5*38)/12</f>
        <v>15.833333333333334</v>
      </c>
      <c r="C387" s="62" t="s">
        <v>106</v>
      </c>
      <c r="D387" s="63">
        <v>18600</v>
      </c>
      <c r="E387" s="64">
        <v>100</v>
      </c>
      <c r="F387" s="64">
        <v>15</v>
      </c>
      <c r="G387" s="84">
        <v>0.122</v>
      </c>
      <c r="H387" s="67">
        <v>2.35</v>
      </c>
      <c r="I387" s="67">
        <v>4.16</v>
      </c>
      <c r="J387" s="67">
        <v>0.75</v>
      </c>
      <c r="K387" s="67">
        <v>1.17</v>
      </c>
      <c r="L387" s="67">
        <v>8.4499999999999993</v>
      </c>
      <c r="M387" s="67">
        <v>2.4900000000000002</v>
      </c>
      <c r="N387" s="67">
        <v>9.07</v>
      </c>
      <c r="O387" s="67">
        <v>20.03</v>
      </c>
      <c r="P387" s="65">
        <f t="shared" si="5"/>
        <v>8.1967213114754092</v>
      </c>
    </row>
    <row r="388" spans="1:16" x14ac:dyDescent="0.25">
      <c r="A388" s="62" t="s">
        <v>499</v>
      </c>
      <c r="B388" s="65">
        <f>(6*38)/12</f>
        <v>19</v>
      </c>
      <c r="C388" s="62" t="s">
        <v>106</v>
      </c>
      <c r="D388" s="63">
        <v>28500</v>
      </c>
      <c r="E388" s="64">
        <v>100</v>
      </c>
      <c r="F388" s="64">
        <v>15</v>
      </c>
      <c r="G388" s="84">
        <v>0.10199999999999999</v>
      </c>
      <c r="H388" s="67">
        <v>1.96</v>
      </c>
      <c r="I388" s="67">
        <v>3.47</v>
      </c>
      <c r="J388" s="67">
        <v>0.97</v>
      </c>
      <c r="K388" s="67">
        <v>0.98</v>
      </c>
      <c r="L388" s="67">
        <v>7.39</v>
      </c>
      <c r="M388" s="67">
        <v>3.19</v>
      </c>
      <c r="N388" s="67">
        <v>7.58</v>
      </c>
      <c r="O388" s="67">
        <v>18.170000000000002</v>
      </c>
      <c r="P388" s="65">
        <f t="shared" si="5"/>
        <v>9.8039215686274517</v>
      </c>
    </row>
    <row r="389" spans="1:16" x14ac:dyDescent="0.25">
      <c r="A389" s="62" t="s">
        <v>500</v>
      </c>
      <c r="B389" s="65">
        <f>(8*38)/12</f>
        <v>25.333333333333332</v>
      </c>
      <c r="C389" s="62" t="s">
        <v>106</v>
      </c>
      <c r="D389" s="63">
        <v>26000</v>
      </c>
      <c r="E389" s="64">
        <v>100</v>
      </c>
      <c r="F389" s="64">
        <v>15</v>
      </c>
      <c r="G389" s="84">
        <v>7.5999999999999998E-2</v>
      </c>
      <c r="H389" s="67">
        <v>1.47</v>
      </c>
      <c r="I389" s="67">
        <v>2.6</v>
      </c>
      <c r="J389" s="67">
        <v>0.66</v>
      </c>
      <c r="K389" s="67">
        <v>0.73</v>
      </c>
      <c r="L389" s="67">
        <v>5.47</v>
      </c>
      <c r="M389" s="67">
        <v>2.1800000000000002</v>
      </c>
      <c r="N389" s="67">
        <v>5.67</v>
      </c>
      <c r="O389" s="67">
        <v>13.34</v>
      </c>
      <c r="P389" s="65">
        <f t="shared" ref="P389" si="6">1/G389</f>
        <v>13.157894736842106</v>
      </c>
    </row>
  </sheetData>
  <sheetProtection algorithmName="SHA-512" hashValue="bxE063aXwd92CY5HNLBToQI97KLuxbuD+PpN+UA4QCoV9eB2IKqBqvZVkFFbKr9/WczwbwNl5m6kKfwFXN7yeQ==" saltValue="NH/6MNNVy57I/2PsbeXuyg==" spinCount="100000" sheet="1" objects="1" scenarios="1"/>
  <pageMargins left="0.7" right="0.7" top="0.75" bottom="0.75" header="0.3" footer="0.3"/>
  <pageSetup scale="6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283CE-CEAF-4840-8677-1A5F3562A31B}">
  <sheetPr>
    <pageSetUpPr fitToPage="1"/>
  </sheetPr>
  <dimension ref="A1:L40"/>
  <sheetViews>
    <sheetView workbookViewId="0">
      <selection activeCell="N5" sqref="N5"/>
    </sheetView>
  </sheetViews>
  <sheetFormatPr defaultRowHeight="13.5" x14ac:dyDescent="0.25"/>
  <cols>
    <col min="1" max="1" width="23" style="2" bestFit="1" customWidth="1"/>
    <col min="2" max="2" width="9.42578125" style="89" bestFit="1" customWidth="1"/>
    <col min="3" max="3" width="7.7109375" style="2" bestFit="1" customWidth="1"/>
    <col min="4" max="4" width="7.140625" style="2" bestFit="1" customWidth="1"/>
    <col min="5" max="5" width="8" style="2" bestFit="1" customWidth="1"/>
    <col min="6" max="8" width="6.42578125" style="89" bestFit="1" customWidth="1"/>
    <col min="9" max="9" width="12.28515625" style="89" bestFit="1" customWidth="1"/>
    <col min="10" max="10" width="7.42578125" style="89" bestFit="1" customWidth="1"/>
    <col min="11" max="11" width="10.85546875" style="89" bestFit="1" customWidth="1"/>
    <col min="12" max="12" width="9.140625" style="93"/>
    <col min="13" max="16384" width="9.140625" style="2"/>
  </cols>
  <sheetData>
    <row r="1" spans="1:12" s="19" customFormat="1" x14ac:dyDescent="0.25">
      <c r="A1" s="76">
        <v>1</v>
      </c>
      <c r="B1" s="76">
        <v>2</v>
      </c>
      <c r="C1" s="76">
        <v>3</v>
      </c>
      <c r="D1" s="76">
        <v>4</v>
      </c>
      <c r="E1" s="76">
        <v>5</v>
      </c>
      <c r="F1" s="76">
        <v>6</v>
      </c>
      <c r="G1" s="76">
        <v>7</v>
      </c>
      <c r="H1" s="76">
        <v>8</v>
      </c>
      <c r="I1" s="76">
        <v>9</v>
      </c>
      <c r="J1" s="76">
        <v>10</v>
      </c>
      <c r="K1" s="76">
        <v>11</v>
      </c>
      <c r="L1" s="76">
        <v>12</v>
      </c>
    </row>
    <row r="2" spans="1:12" ht="40.5" x14ac:dyDescent="0.25">
      <c r="A2" s="53" t="s">
        <v>59</v>
      </c>
      <c r="B2" s="54" t="s">
        <v>60</v>
      </c>
      <c r="C2" s="55" t="s">
        <v>93</v>
      </c>
      <c r="D2" s="55" t="s">
        <v>501</v>
      </c>
      <c r="E2" s="55" t="s">
        <v>502</v>
      </c>
      <c r="F2" s="54" t="s">
        <v>503</v>
      </c>
      <c r="G2" s="54" t="s">
        <v>504</v>
      </c>
      <c r="H2" s="54" t="s">
        <v>505</v>
      </c>
      <c r="I2" s="54" t="s">
        <v>506</v>
      </c>
      <c r="J2" s="54" t="s">
        <v>507</v>
      </c>
      <c r="K2" s="54" t="s">
        <v>508</v>
      </c>
      <c r="L2" s="90" t="s">
        <v>72</v>
      </c>
    </row>
    <row r="3" spans="1:12" x14ac:dyDescent="0.25">
      <c r="A3" s="56" t="s">
        <v>73</v>
      </c>
      <c r="B3" s="57">
        <v>0</v>
      </c>
      <c r="C3" s="58">
        <v>0</v>
      </c>
      <c r="D3" s="58">
        <v>0</v>
      </c>
      <c r="E3" s="59">
        <v>0</v>
      </c>
      <c r="F3" s="57">
        <v>0</v>
      </c>
      <c r="G3" s="57">
        <v>0</v>
      </c>
      <c r="H3" s="57">
        <v>0</v>
      </c>
      <c r="I3" s="57">
        <v>0</v>
      </c>
      <c r="J3" s="57">
        <v>0</v>
      </c>
      <c r="K3" s="57">
        <v>0</v>
      </c>
      <c r="L3" s="75">
        <v>0</v>
      </c>
    </row>
    <row r="4" spans="1:12" x14ac:dyDescent="0.25">
      <c r="A4" s="91" t="s">
        <v>257</v>
      </c>
      <c r="B4" s="63">
        <v>463000</v>
      </c>
      <c r="C4" s="64">
        <v>300</v>
      </c>
      <c r="D4" s="64">
        <v>8</v>
      </c>
      <c r="E4" s="65">
        <v>13.64</v>
      </c>
      <c r="F4" s="67">
        <v>19.28</v>
      </c>
      <c r="G4" s="67">
        <v>40.1</v>
      </c>
      <c r="H4" s="67">
        <v>48.22</v>
      </c>
      <c r="I4" s="67">
        <v>107.61</v>
      </c>
      <c r="J4" s="67">
        <v>230.93</v>
      </c>
      <c r="K4" s="67">
        <v>338.54</v>
      </c>
      <c r="L4" s="68">
        <v>265</v>
      </c>
    </row>
    <row r="5" spans="1:12" x14ac:dyDescent="0.25">
      <c r="A5" s="92" t="s">
        <v>261</v>
      </c>
      <c r="B5" s="70">
        <v>560000</v>
      </c>
      <c r="C5" s="71">
        <v>300</v>
      </c>
      <c r="D5" s="71">
        <v>8</v>
      </c>
      <c r="E5" s="72">
        <v>16.73</v>
      </c>
      <c r="F5" s="74">
        <v>19.28</v>
      </c>
      <c r="G5" s="74">
        <v>49.18</v>
      </c>
      <c r="H5" s="74">
        <v>58.33</v>
      </c>
      <c r="I5" s="74">
        <v>126.79</v>
      </c>
      <c r="J5" s="74">
        <v>279.31</v>
      </c>
      <c r="K5" s="74">
        <v>406.11</v>
      </c>
      <c r="L5" s="75">
        <v>325</v>
      </c>
    </row>
    <row r="6" spans="1:12" x14ac:dyDescent="0.25">
      <c r="A6" s="91" t="s">
        <v>267</v>
      </c>
      <c r="B6" s="63">
        <v>565000</v>
      </c>
      <c r="C6" s="64">
        <v>300</v>
      </c>
      <c r="D6" s="64">
        <v>8</v>
      </c>
      <c r="E6" s="65">
        <v>18.27</v>
      </c>
      <c r="F6" s="67">
        <v>19.28</v>
      </c>
      <c r="G6" s="67">
        <v>53.71</v>
      </c>
      <c r="H6" s="67">
        <v>58.85</v>
      </c>
      <c r="I6" s="67">
        <v>131.84</v>
      </c>
      <c r="J6" s="67">
        <v>281.8</v>
      </c>
      <c r="K6" s="67">
        <v>413.65</v>
      </c>
      <c r="L6" s="68">
        <v>355</v>
      </c>
    </row>
    <row r="7" spans="1:12" x14ac:dyDescent="0.25">
      <c r="A7" s="92" t="s">
        <v>269</v>
      </c>
      <c r="B7" s="70">
        <v>568000</v>
      </c>
      <c r="C7" s="71">
        <v>300</v>
      </c>
      <c r="D7" s="71">
        <v>8</v>
      </c>
      <c r="E7" s="72">
        <v>21.87</v>
      </c>
      <c r="F7" s="74">
        <v>19.28</v>
      </c>
      <c r="G7" s="74">
        <v>64.31</v>
      </c>
      <c r="H7" s="74">
        <v>59.16</v>
      </c>
      <c r="I7" s="74">
        <v>142.76</v>
      </c>
      <c r="J7" s="74">
        <v>283.3</v>
      </c>
      <c r="K7" s="74">
        <v>426.06</v>
      </c>
      <c r="L7" s="75">
        <v>425</v>
      </c>
    </row>
    <row r="8" spans="1:12" x14ac:dyDescent="0.25">
      <c r="A8" s="91" t="s">
        <v>509</v>
      </c>
      <c r="B8" s="63">
        <v>613000</v>
      </c>
      <c r="C8" s="64">
        <v>300</v>
      </c>
      <c r="D8" s="64">
        <v>8</v>
      </c>
      <c r="E8" s="65">
        <v>24.44</v>
      </c>
      <c r="F8" s="67">
        <v>19.28</v>
      </c>
      <c r="G8" s="67">
        <v>71.88</v>
      </c>
      <c r="H8" s="67">
        <v>63.85</v>
      </c>
      <c r="I8" s="67">
        <v>155.01</v>
      </c>
      <c r="J8" s="67">
        <v>305.74</v>
      </c>
      <c r="K8" s="67">
        <v>460.76</v>
      </c>
      <c r="L8" s="68">
        <v>475</v>
      </c>
    </row>
    <row r="9" spans="1:12" x14ac:dyDescent="0.25">
      <c r="A9" s="69" t="s">
        <v>510</v>
      </c>
      <c r="B9" s="70">
        <v>39500</v>
      </c>
      <c r="C9" s="71">
        <v>600</v>
      </c>
      <c r="D9" s="71">
        <v>8</v>
      </c>
      <c r="E9" s="72">
        <v>1.54</v>
      </c>
      <c r="F9" s="74">
        <v>19.28</v>
      </c>
      <c r="G9" s="74">
        <v>4.53</v>
      </c>
      <c r="H9" s="74">
        <v>1.23</v>
      </c>
      <c r="I9" s="74">
        <v>25.05</v>
      </c>
      <c r="J9" s="74">
        <v>9.24</v>
      </c>
      <c r="K9" s="74">
        <v>34.29</v>
      </c>
      <c r="L9" s="75">
        <v>30</v>
      </c>
    </row>
    <row r="10" spans="1:12" x14ac:dyDescent="0.25">
      <c r="A10" s="62" t="s">
        <v>511</v>
      </c>
      <c r="B10" s="63">
        <v>27700</v>
      </c>
      <c r="C10" s="64">
        <v>600</v>
      </c>
      <c r="D10" s="64">
        <v>8</v>
      </c>
      <c r="E10" s="65">
        <v>1.54</v>
      </c>
      <c r="F10" s="67">
        <v>19.28</v>
      </c>
      <c r="G10" s="67">
        <v>4.53</v>
      </c>
      <c r="H10" s="67">
        <v>0.86</v>
      </c>
      <c r="I10" s="67">
        <v>24.68</v>
      </c>
      <c r="J10" s="67">
        <v>6.48</v>
      </c>
      <c r="K10" s="67">
        <v>31.16</v>
      </c>
      <c r="L10" s="68">
        <v>30</v>
      </c>
    </row>
    <row r="11" spans="1:12" x14ac:dyDescent="0.25">
      <c r="A11" s="69" t="s">
        <v>512</v>
      </c>
      <c r="B11" s="70">
        <v>39800</v>
      </c>
      <c r="C11" s="71">
        <v>600</v>
      </c>
      <c r="D11" s="71">
        <v>8</v>
      </c>
      <c r="E11" s="72">
        <v>2.57</v>
      </c>
      <c r="F11" s="74">
        <v>19.28</v>
      </c>
      <c r="G11" s="74">
        <v>7.56</v>
      </c>
      <c r="H11" s="74">
        <v>1.24</v>
      </c>
      <c r="I11" s="74">
        <v>28.09</v>
      </c>
      <c r="J11" s="74">
        <v>9.31</v>
      </c>
      <c r="K11" s="74">
        <v>37.4</v>
      </c>
      <c r="L11" s="75">
        <v>50</v>
      </c>
    </row>
    <row r="12" spans="1:12" x14ac:dyDescent="0.25">
      <c r="A12" s="62" t="s">
        <v>513</v>
      </c>
      <c r="B12" s="63">
        <v>53300</v>
      </c>
      <c r="C12" s="64">
        <v>600</v>
      </c>
      <c r="D12" s="64">
        <v>8</v>
      </c>
      <c r="E12" s="65">
        <v>2.57</v>
      </c>
      <c r="F12" s="67">
        <v>19.28</v>
      </c>
      <c r="G12" s="67">
        <v>7.56</v>
      </c>
      <c r="H12" s="67">
        <v>1.66</v>
      </c>
      <c r="I12" s="67">
        <v>28.51</v>
      </c>
      <c r="J12" s="67">
        <v>12.47</v>
      </c>
      <c r="K12" s="67">
        <v>40.98</v>
      </c>
      <c r="L12" s="68">
        <v>50</v>
      </c>
    </row>
    <row r="13" spans="1:12" x14ac:dyDescent="0.25">
      <c r="A13" s="69" t="s">
        <v>514</v>
      </c>
      <c r="B13" s="70">
        <v>29200</v>
      </c>
      <c r="C13" s="71">
        <v>600</v>
      </c>
      <c r="D13" s="71">
        <v>8</v>
      </c>
      <c r="E13" s="72">
        <v>2.57</v>
      </c>
      <c r="F13" s="74">
        <v>19.28</v>
      </c>
      <c r="G13" s="74">
        <v>7.56</v>
      </c>
      <c r="H13" s="74">
        <v>0.91</v>
      </c>
      <c r="I13" s="74">
        <v>27.75</v>
      </c>
      <c r="J13" s="74">
        <v>6.83</v>
      </c>
      <c r="K13" s="74">
        <v>34.590000000000003</v>
      </c>
      <c r="L13" s="75">
        <v>50</v>
      </c>
    </row>
    <row r="14" spans="1:12" x14ac:dyDescent="0.25">
      <c r="A14" s="62" t="s">
        <v>515</v>
      </c>
      <c r="B14" s="63">
        <v>34300</v>
      </c>
      <c r="C14" s="64">
        <v>600</v>
      </c>
      <c r="D14" s="64">
        <v>8</v>
      </c>
      <c r="E14" s="65">
        <v>2.57</v>
      </c>
      <c r="F14" s="67">
        <v>19.28</v>
      </c>
      <c r="G14" s="67">
        <v>7.56</v>
      </c>
      <c r="H14" s="67">
        <v>1.07</v>
      </c>
      <c r="I14" s="67">
        <v>27.91</v>
      </c>
      <c r="J14" s="67">
        <v>8.02</v>
      </c>
      <c r="K14" s="67">
        <v>35.94</v>
      </c>
      <c r="L14" s="68">
        <v>50</v>
      </c>
    </row>
    <row r="15" spans="1:12" x14ac:dyDescent="0.25">
      <c r="A15" s="69" t="s">
        <v>516</v>
      </c>
      <c r="B15" s="70">
        <v>73800</v>
      </c>
      <c r="C15" s="71">
        <v>600</v>
      </c>
      <c r="D15" s="71">
        <v>8</v>
      </c>
      <c r="E15" s="72">
        <v>3.86</v>
      </c>
      <c r="F15" s="74">
        <v>19.28</v>
      </c>
      <c r="G15" s="74">
        <v>11.34</v>
      </c>
      <c r="H15" s="74">
        <v>2.2999999999999998</v>
      </c>
      <c r="I15" s="74">
        <v>32.93</v>
      </c>
      <c r="J15" s="74">
        <v>17.260000000000002</v>
      </c>
      <c r="K15" s="74">
        <v>50.2</v>
      </c>
      <c r="L15" s="75">
        <v>75</v>
      </c>
    </row>
    <row r="16" spans="1:12" x14ac:dyDescent="0.25">
      <c r="A16" s="62" t="s">
        <v>517</v>
      </c>
      <c r="B16" s="63">
        <v>81600</v>
      </c>
      <c r="C16" s="64">
        <v>600</v>
      </c>
      <c r="D16" s="64">
        <v>8</v>
      </c>
      <c r="E16" s="65">
        <v>3.86</v>
      </c>
      <c r="F16" s="67">
        <v>19.28</v>
      </c>
      <c r="G16" s="67">
        <v>11.34</v>
      </c>
      <c r="H16" s="67">
        <v>2.5499999999999998</v>
      </c>
      <c r="I16" s="67">
        <v>33.17</v>
      </c>
      <c r="J16" s="67">
        <v>19.09</v>
      </c>
      <c r="K16" s="67">
        <v>52.27</v>
      </c>
      <c r="L16" s="68">
        <v>75</v>
      </c>
    </row>
    <row r="17" spans="1:12" x14ac:dyDescent="0.25">
      <c r="A17" s="69" t="s">
        <v>518</v>
      </c>
      <c r="B17" s="70">
        <v>61000</v>
      </c>
      <c r="C17" s="71">
        <v>600</v>
      </c>
      <c r="D17" s="71">
        <v>8</v>
      </c>
      <c r="E17" s="72">
        <v>3.86</v>
      </c>
      <c r="F17" s="74">
        <v>19.28</v>
      </c>
      <c r="G17" s="74">
        <v>11.34</v>
      </c>
      <c r="H17" s="74">
        <v>1.9</v>
      </c>
      <c r="I17" s="74">
        <v>32.53</v>
      </c>
      <c r="J17" s="74">
        <v>14.27</v>
      </c>
      <c r="K17" s="74">
        <v>46.8</v>
      </c>
      <c r="L17" s="75">
        <v>75</v>
      </c>
    </row>
    <row r="18" spans="1:12" x14ac:dyDescent="0.25">
      <c r="A18" s="62" t="s">
        <v>519</v>
      </c>
      <c r="B18" s="63">
        <v>53300</v>
      </c>
      <c r="C18" s="64">
        <v>600</v>
      </c>
      <c r="D18" s="64">
        <v>8</v>
      </c>
      <c r="E18" s="65">
        <v>3.86</v>
      </c>
      <c r="F18" s="67">
        <v>19.28</v>
      </c>
      <c r="G18" s="67">
        <v>11.34</v>
      </c>
      <c r="H18" s="67">
        <v>1.66</v>
      </c>
      <c r="I18" s="67">
        <v>32.29</v>
      </c>
      <c r="J18" s="67">
        <v>12.47</v>
      </c>
      <c r="K18" s="67">
        <v>44.76</v>
      </c>
      <c r="L18" s="68">
        <v>75</v>
      </c>
    </row>
    <row r="19" spans="1:12" x14ac:dyDescent="0.25">
      <c r="A19" s="69" t="s">
        <v>168</v>
      </c>
      <c r="B19" s="70">
        <v>113000</v>
      </c>
      <c r="C19" s="71">
        <v>600</v>
      </c>
      <c r="D19" s="71">
        <v>8</v>
      </c>
      <c r="E19" s="72">
        <v>5.4</v>
      </c>
      <c r="F19" s="74">
        <v>19.28</v>
      </c>
      <c r="G19" s="74">
        <v>15.88</v>
      </c>
      <c r="H19" s="74">
        <v>3.53</v>
      </c>
      <c r="I19" s="74">
        <v>38.700000000000003</v>
      </c>
      <c r="J19" s="74">
        <v>26.44</v>
      </c>
      <c r="K19" s="74">
        <v>64.14</v>
      </c>
      <c r="L19" s="75">
        <v>105</v>
      </c>
    </row>
    <row r="20" spans="1:12" x14ac:dyDescent="0.25">
      <c r="A20" s="62" t="s">
        <v>520</v>
      </c>
      <c r="B20" s="63">
        <v>115000</v>
      </c>
      <c r="C20" s="64">
        <v>600</v>
      </c>
      <c r="D20" s="64">
        <v>8</v>
      </c>
      <c r="E20" s="65">
        <v>5.4</v>
      </c>
      <c r="F20" s="67">
        <v>19.28</v>
      </c>
      <c r="G20" s="67">
        <v>15.88</v>
      </c>
      <c r="H20" s="67">
        <v>3.59</v>
      </c>
      <c r="I20" s="67">
        <v>38.76</v>
      </c>
      <c r="J20" s="67">
        <v>26.9</v>
      </c>
      <c r="K20" s="67">
        <v>65.67</v>
      </c>
      <c r="L20" s="68">
        <v>105</v>
      </c>
    </row>
    <row r="21" spans="1:12" x14ac:dyDescent="0.25">
      <c r="A21" s="69" t="s">
        <v>521</v>
      </c>
      <c r="B21" s="70">
        <v>113700</v>
      </c>
      <c r="C21" s="71">
        <v>600</v>
      </c>
      <c r="D21" s="71">
        <v>8</v>
      </c>
      <c r="E21" s="72">
        <v>5.4</v>
      </c>
      <c r="F21" s="74">
        <v>19.28</v>
      </c>
      <c r="G21" s="74">
        <v>15.88</v>
      </c>
      <c r="H21" s="74">
        <v>3.55</v>
      </c>
      <c r="I21" s="74">
        <v>38.72</v>
      </c>
      <c r="J21" s="74">
        <v>26.6</v>
      </c>
      <c r="K21" s="74">
        <v>65.319999999999993</v>
      </c>
      <c r="L21" s="75">
        <v>105</v>
      </c>
    </row>
    <row r="22" spans="1:12" x14ac:dyDescent="0.25">
      <c r="A22" s="62" t="s">
        <v>157</v>
      </c>
      <c r="B22" s="63">
        <v>111000</v>
      </c>
      <c r="C22" s="64">
        <v>600</v>
      </c>
      <c r="D22" s="64">
        <v>8</v>
      </c>
      <c r="E22" s="65">
        <v>5.4</v>
      </c>
      <c r="F22" s="67">
        <v>19.28</v>
      </c>
      <c r="G22" s="67">
        <v>15.88</v>
      </c>
      <c r="H22" s="67">
        <v>3.46</v>
      </c>
      <c r="I22" s="67">
        <v>38.630000000000003</v>
      </c>
      <c r="J22" s="67">
        <v>25.97</v>
      </c>
      <c r="K22" s="67">
        <v>64.61</v>
      </c>
      <c r="L22" s="68">
        <v>105</v>
      </c>
    </row>
    <row r="23" spans="1:12" x14ac:dyDescent="0.25">
      <c r="A23" s="69" t="s">
        <v>165</v>
      </c>
      <c r="B23" s="70">
        <v>144300</v>
      </c>
      <c r="C23" s="71">
        <v>600</v>
      </c>
      <c r="D23" s="71">
        <v>8</v>
      </c>
      <c r="E23" s="72">
        <v>6.69</v>
      </c>
      <c r="F23" s="74">
        <v>19.28</v>
      </c>
      <c r="G23" s="74">
        <v>19.670000000000002</v>
      </c>
      <c r="H23" s="74">
        <v>4.5</v>
      </c>
      <c r="I23" s="74">
        <v>43.46</v>
      </c>
      <c r="J23" s="74">
        <v>33.76</v>
      </c>
      <c r="K23" s="74">
        <v>77.22</v>
      </c>
      <c r="L23" s="75">
        <v>130</v>
      </c>
    </row>
    <row r="24" spans="1:12" x14ac:dyDescent="0.25">
      <c r="A24" s="62" t="s">
        <v>522</v>
      </c>
      <c r="B24" s="63">
        <v>172900</v>
      </c>
      <c r="C24" s="64">
        <v>600</v>
      </c>
      <c r="D24" s="64">
        <v>8</v>
      </c>
      <c r="E24" s="65">
        <v>6.69</v>
      </c>
      <c r="F24" s="67">
        <v>19.28</v>
      </c>
      <c r="G24" s="67">
        <v>19.670000000000002</v>
      </c>
      <c r="H24" s="67">
        <v>5.4</v>
      </c>
      <c r="I24" s="67">
        <v>44.35</v>
      </c>
      <c r="J24" s="67">
        <v>40.450000000000003</v>
      </c>
      <c r="K24" s="67">
        <v>84.81</v>
      </c>
      <c r="L24" s="68">
        <v>130</v>
      </c>
    </row>
    <row r="25" spans="1:12" x14ac:dyDescent="0.25">
      <c r="A25" s="69" t="s">
        <v>219</v>
      </c>
      <c r="B25" s="70">
        <v>167600</v>
      </c>
      <c r="C25" s="71">
        <v>600</v>
      </c>
      <c r="D25" s="71">
        <v>8</v>
      </c>
      <c r="E25" s="72">
        <v>7.72</v>
      </c>
      <c r="F25" s="74">
        <v>19.28</v>
      </c>
      <c r="G25" s="74">
        <v>22.69</v>
      </c>
      <c r="H25" s="74">
        <v>5.23</v>
      </c>
      <c r="I25" s="74">
        <v>47.21</v>
      </c>
      <c r="J25" s="74">
        <v>39.21</v>
      </c>
      <c r="K25" s="74">
        <v>86.43</v>
      </c>
      <c r="L25" s="75">
        <v>150</v>
      </c>
    </row>
    <row r="26" spans="1:12" x14ac:dyDescent="0.25">
      <c r="A26" s="62" t="s">
        <v>99</v>
      </c>
      <c r="B26" s="63">
        <v>193900</v>
      </c>
      <c r="C26" s="64">
        <v>600</v>
      </c>
      <c r="D26" s="64">
        <v>8</v>
      </c>
      <c r="E26" s="65">
        <v>7.72</v>
      </c>
      <c r="F26" s="67">
        <v>19.28</v>
      </c>
      <c r="G26" s="67">
        <v>22.69</v>
      </c>
      <c r="H26" s="67">
        <v>6.05</v>
      </c>
      <c r="I26" s="67">
        <v>48.03</v>
      </c>
      <c r="J26" s="67">
        <v>45.37</v>
      </c>
      <c r="K26" s="67">
        <v>93.41</v>
      </c>
      <c r="L26" s="68">
        <v>150</v>
      </c>
    </row>
    <row r="27" spans="1:12" x14ac:dyDescent="0.25">
      <c r="A27" s="69" t="s">
        <v>101</v>
      </c>
      <c r="B27" s="70">
        <v>218500</v>
      </c>
      <c r="C27" s="71">
        <v>600</v>
      </c>
      <c r="D27" s="71">
        <v>8</v>
      </c>
      <c r="E27" s="72">
        <v>8.75</v>
      </c>
      <c r="F27" s="74">
        <v>19.28</v>
      </c>
      <c r="G27" s="74">
        <v>25.72</v>
      </c>
      <c r="H27" s="74">
        <v>6.82</v>
      </c>
      <c r="I27" s="74">
        <v>51.83</v>
      </c>
      <c r="J27" s="74">
        <v>52.8</v>
      </c>
      <c r="K27" s="74">
        <v>104.64</v>
      </c>
      <c r="L27" s="75">
        <v>170</v>
      </c>
    </row>
    <row r="28" spans="1:12" x14ac:dyDescent="0.25">
      <c r="A28" s="62" t="s">
        <v>103</v>
      </c>
      <c r="B28" s="63">
        <v>281000</v>
      </c>
      <c r="C28" s="64">
        <v>600</v>
      </c>
      <c r="D28" s="64">
        <v>8</v>
      </c>
      <c r="E28" s="65">
        <v>9.77</v>
      </c>
      <c r="F28" s="67">
        <v>19.28</v>
      </c>
      <c r="G28" s="67">
        <v>28.75</v>
      </c>
      <c r="H28" s="67">
        <v>8.7799999999999994</v>
      </c>
      <c r="I28" s="67">
        <v>56.81</v>
      </c>
      <c r="J28" s="67">
        <v>67.91</v>
      </c>
      <c r="K28" s="67">
        <v>124.72</v>
      </c>
      <c r="L28" s="68">
        <v>190</v>
      </c>
    </row>
    <row r="29" spans="1:12" x14ac:dyDescent="0.25">
      <c r="A29" s="69" t="s">
        <v>106</v>
      </c>
      <c r="B29" s="70">
        <v>307000</v>
      </c>
      <c r="C29" s="71">
        <v>600</v>
      </c>
      <c r="D29" s="71">
        <v>8</v>
      </c>
      <c r="E29" s="72">
        <v>11.58</v>
      </c>
      <c r="F29" s="74">
        <v>19.28</v>
      </c>
      <c r="G29" s="74">
        <v>34.04</v>
      </c>
      <c r="H29" s="74">
        <v>9.59</v>
      </c>
      <c r="I29" s="74">
        <v>62.92</v>
      </c>
      <c r="J29" s="74">
        <v>74.19</v>
      </c>
      <c r="K29" s="74">
        <v>137.12</v>
      </c>
      <c r="L29" s="75">
        <v>225</v>
      </c>
    </row>
    <row r="30" spans="1:12" x14ac:dyDescent="0.25">
      <c r="A30" s="62" t="s">
        <v>523</v>
      </c>
      <c r="B30" s="63">
        <v>458000</v>
      </c>
      <c r="C30" s="64">
        <v>600</v>
      </c>
      <c r="D30" s="64">
        <v>8</v>
      </c>
      <c r="E30" s="65">
        <v>15.44</v>
      </c>
      <c r="F30" s="67">
        <v>19.28</v>
      </c>
      <c r="G30" s="67">
        <v>45.39</v>
      </c>
      <c r="H30" s="67">
        <v>14.31</v>
      </c>
      <c r="I30" s="67">
        <v>78.989999999999995</v>
      </c>
      <c r="J30" s="67">
        <v>110.69</v>
      </c>
      <c r="K30" s="67">
        <v>189.68</v>
      </c>
      <c r="L30" s="68">
        <v>300</v>
      </c>
    </row>
    <row r="31" spans="1:12" x14ac:dyDescent="0.25">
      <c r="A31" s="69" t="s">
        <v>109</v>
      </c>
      <c r="B31" s="70">
        <v>395000</v>
      </c>
      <c r="C31" s="71">
        <v>600</v>
      </c>
      <c r="D31" s="71">
        <v>8</v>
      </c>
      <c r="E31" s="72">
        <v>15.44</v>
      </c>
      <c r="F31" s="74">
        <v>19.28</v>
      </c>
      <c r="G31" s="74">
        <v>45.39</v>
      </c>
      <c r="H31" s="74">
        <v>12.34</v>
      </c>
      <c r="I31" s="74">
        <v>77.02</v>
      </c>
      <c r="J31" s="74">
        <v>95.46</v>
      </c>
      <c r="K31" s="74">
        <v>172.49</v>
      </c>
      <c r="L31" s="75">
        <v>300</v>
      </c>
    </row>
    <row r="32" spans="1:12" x14ac:dyDescent="0.25">
      <c r="A32" s="62" t="s">
        <v>524</v>
      </c>
      <c r="B32" s="63">
        <v>329000</v>
      </c>
      <c r="C32" s="64">
        <v>600</v>
      </c>
      <c r="D32" s="64">
        <v>8</v>
      </c>
      <c r="E32" s="65">
        <v>15.44</v>
      </c>
      <c r="F32" s="67">
        <v>19.28</v>
      </c>
      <c r="G32" s="67">
        <v>45.39</v>
      </c>
      <c r="H32" s="67">
        <v>10.28</v>
      </c>
      <c r="I32" s="67">
        <v>74.959999999999994</v>
      </c>
      <c r="J32" s="67">
        <v>79.510000000000005</v>
      </c>
      <c r="K32" s="67">
        <v>154.47</v>
      </c>
      <c r="L32" s="68">
        <v>300</v>
      </c>
    </row>
    <row r="33" spans="1:12" x14ac:dyDescent="0.25">
      <c r="A33" s="69" t="s">
        <v>525</v>
      </c>
      <c r="B33" s="70">
        <v>519000</v>
      </c>
      <c r="C33" s="71">
        <v>600</v>
      </c>
      <c r="D33" s="71">
        <v>8</v>
      </c>
      <c r="E33" s="72">
        <v>20.58</v>
      </c>
      <c r="F33" s="74">
        <v>19.28</v>
      </c>
      <c r="G33" s="74">
        <v>60.53</v>
      </c>
      <c r="H33" s="74">
        <v>16.21</v>
      </c>
      <c r="I33" s="74">
        <v>96.03</v>
      </c>
      <c r="J33" s="74">
        <v>125.43</v>
      </c>
      <c r="K33" s="74">
        <v>221.46</v>
      </c>
      <c r="L33" s="75">
        <v>400</v>
      </c>
    </row>
    <row r="34" spans="1:12" x14ac:dyDescent="0.25">
      <c r="A34" s="62" t="s">
        <v>526</v>
      </c>
      <c r="B34" s="63">
        <v>645000</v>
      </c>
      <c r="C34" s="64">
        <v>600</v>
      </c>
      <c r="D34" s="64">
        <v>8</v>
      </c>
      <c r="E34" s="65">
        <v>20.58</v>
      </c>
      <c r="F34" s="67">
        <v>19.28</v>
      </c>
      <c r="G34" s="67">
        <v>60.53</v>
      </c>
      <c r="H34" s="67">
        <v>20.149999999999999</v>
      </c>
      <c r="I34" s="67">
        <v>99.96</v>
      </c>
      <c r="J34" s="67">
        <v>155.88999999999999</v>
      </c>
      <c r="K34" s="67">
        <v>255.85</v>
      </c>
      <c r="L34" s="68">
        <v>400</v>
      </c>
    </row>
    <row r="35" spans="1:12" x14ac:dyDescent="0.25">
      <c r="A35" s="69" t="s">
        <v>527</v>
      </c>
      <c r="B35" s="70">
        <v>601000</v>
      </c>
      <c r="C35" s="71">
        <v>600</v>
      </c>
      <c r="D35" s="71">
        <v>8</v>
      </c>
      <c r="E35" s="72">
        <v>25.73</v>
      </c>
      <c r="F35" s="74">
        <v>19.28</v>
      </c>
      <c r="G35" s="74">
        <v>75.66</v>
      </c>
      <c r="H35" s="74">
        <v>18.78</v>
      </c>
      <c r="I35" s="74">
        <v>113.72</v>
      </c>
      <c r="J35" s="74">
        <v>145.25</v>
      </c>
      <c r="K35" s="74">
        <v>258.98</v>
      </c>
      <c r="L35" s="75">
        <v>500</v>
      </c>
    </row>
    <row r="36" spans="1:12" x14ac:dyDescent="0.25">
      <c r="A36" s="62" t="s">
        <v>528</v>
      </c>
      <c r="B36" s="63">
        <v>700000</v>
      </c>
      <c r="C36" s="64">
        <v>600</v>
      </c>
      <c r="D36" s="64">
        <v>8</v>
      </c>
      <c r="E36" s="65">
        <v>25.73</v>
      </c>
      <c r="F36" s="67">
        <v>19.28</v>
      </c>
      <c r="G36" s="67">
        <v>75.66</v>
      </c>
      <c r="H36" s="67">
        <v>21.87</v>
      </c>
      <c r="I36" s="67">
        <v>116.81</v>
      </c>
      <c r="J36" s="67">
        <v>169.18</v>
      </c>
      <c r="K36" s="67">
        <v>286</v>
      </c>
      <c r="L36" s="68">
        <v>500</v>
      </c>
    </row>
    <row r="37" spans="1:12" x14ac:dyDescent="0.25">
      <c r="A37" s="69" t="s">
        <v>450</v>
      </c>
      <c r="B37" s="70">
        <v>12200</v>
      </c>
      <c r="C37" s="71">
        <v>200</v>
      </c>
      <c r="D37" s="71">
        <v>8</v>
      </c>
      <c r="E37" s="72">
        <v>0.7</v>
      </c>
      <c r="F37" s="74">
        <v>19.28</v>
      </c>
      <c r="G37" s="74">
        <v>1.88</v>
      </c>
      <c r="H37" s="74">
        <v>1.9</v>
      </c>
      <c r="I37" s="74">
        <v>23.06</v>
      </c>
      <c r="J37" s="74">
        <v>9.1199999999999992</v>
      </c>
      <c r="K37" s="74">
        <v>32.19</v>
      </c>
      <c r="L37" s="75">
        <f>800/15</f>
        <v>53.333333333333336</v>
      </c>
    </row>
    <row r="38" spans="1:12" x14ac:dyDescent="0.25">
      <c r="A38" s="62" t="s">
        <v>529</v>
      </c>
      <c r="B38" s="63">
        <v>18700</v>
      </c>
      <c r="C38" s="64">
        <v>200</v>
      </c>
      <c r="D38" s="64">
        <v>8</v>
      </c>
      <c r="E38" s="65">
        <v>1</v>
      </c>
      <c r="F38" s="67">
        <v>19.28</v>
      </c>
      <c r="G38" s="67">
        <v>2.69</v>
      </c>
      <c r="H38" s="67">
        <v>2.92</v>
      </c>
      <c r="I38" s="67">
        <v>24.89</v>
      </c>
      <c r="J38" s="67">
        <v>13.99</v>
      </c>
      <c r="K38" s="67">
        <v>38.880000000000003</v>
      </c>
      <c r="L38" s="68">
        <f>900/15</f>
        <v>60</v>
      </c>
    </row>
    <row r="39" spans="1:12" x14ac:dyDescent="0.25">
      <c r="A39" s="300" t="s">
        <v>530</v>
      </c>
      <c r="B39" s="300"/>
      <c r="C39" s="300"/>
      <c r="D39" s="300"/>
    </row>
    <row r="40" spans="1:12" x14ac:dyDescent="0.25">
      <c r="A40" s="94" t="s">
        <v>531</v>
      </c>
    </row>
  </sheetData>
  <sheetProtection algorithmName="SHA-512" hashValue="JcG2V9i7dcpea6+is6KbzQC6eoYk7Mf1jbJwSIQ8pzuNPgmjoZeK5Hdcy2k8EaQAPdQriTKZ3BWFXig4gZBHcw==" saltValue="fEOYs83CY/MC/hXL7o/d4A==" spinCount="100000" sheet="1" objects="1" scenarios="1"/>
  <mergeCells count="1">
    <mergeCell ref="A39:D39"/>
  </mergeCells>
  <hyperlinks>
    <hyperlink ref="A40" r:id="rId1" xr:uid="{54083E93-73AE-425B-A8A9-EF8CB48E133E}"/>
  </hyperlinks>
  <pageMargins left="0.7" right="0.7" top="0.75" bottom="0.75" header="0.3" footer="0.3"/>
  <pageSetup fitToHeight="0" orientation="landscape"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7BE39-FD46-42DA-8992-F6A8DC379E6B}">
  <sheetPr>
    <pageSetUpPr fitToPage="1"/>
  </sheetPr>
  <dimension ref="A1:I342"/>
  <sheetViews>
    <sheetView workbookViewId="0">
      <selection activeCell="J10" sqref="J10"/>
    </sheetView>
  </sheetViews>
  <sheetFormatPr defaultColWidth="16.28515625" defaultRowHeight="13.5" x14ac:dyDescent="0.25"/>
  <cols>
    <col min="1" max="1" width="12.28515625" style="1" bestFit="1" customWidth="1"/>
    <col min="2" max="2" width="7.7109375" style="1" bestFit="1" customWidth="1"/>
    <col min="3" max="3" width="8.7109375" style="1" bestFit="1" customWidth="1"/>
    <col min="4" max="4" width="10.140625" style="1" bestFit="1" customWidth="1"/>
    <col min="5" max="5" width="5" style="1" bestFit="1" customWidth="1"/>
    <col min="6" max="6" width="14.28515625" style="1" bestFit="1" customWidth="1"/>
    <col min="7" max="7" width="11.140625" style="1" bestFit="1" customWidth="1"/>
    <col min="8" max="8" width="19.5703125" style="2" bestFit="1" customWidth="1"/>
    <col min="9" max="9" width="19.5703125" style="1" bestFit="1" customWidth="1"/>
    <col min="10" max="16384" width="16.28515625" style="1"/>
  </cols>
  <sheetData>
    <row r="1" spans="1:9" x14ac:dyDescent="0.25">
      <c r="A1" s="95" t="s">
        <v>532</v>
      </c>
      <c r="B1" s="96" t="s">
        <v>533</v>
      </c>
      <c r="C1" s="96" t="s">
        <v>534</v>
      </c>
      <c r="D1" s="95" t="s">
        <v>535</v>
      </c>
      <c r="E1" s="96" t="s">
        <v>72</v>
      </c>
      <c r="F1" s="95" t="s">
        <v>536</v>
      </c>
      <c r="G1" s="95" t="s">
        <v>537</v>
      </c>
      <c r="H1" s="97" t="s">
        <v>538</v>
      </c>
      <c r="I1" s="97" t="s">
        <v>539</v>
      </c>
    </row>
    <row r="2" spans="1:9" x14ac:dyDescent="0.25">
      <c r="A2" s="98">
        <v>0</v>
      </c>
      <c r="B2" s="99">
        <v>0</v>
      </c>
      <c r="C2" s="69">
        <v>0</v>
      </c>
      <c r="D2" s="69">
        <v>0</v>
      </c>
      <c r="E2" s="69">
        <v>0</v>
      </c>
      <c r="F2" s="99">
        <v>0</v>
      </c>
      <c r="G2" s="99">
        <v>0</v>
      </c>
      <c r="H2" s="100">
        <v>0</v>
      </c>
      <c r="I2" s="100" t="s">
        <v>540</v>
      </c>
    </row>
    <row r="3" spans="1:9" x14ac:dyDescent="0.25">
      <c r="A3" s="101">
        <v>1</v>
      </c>
      <c r="B3" s="99">
        <v>0.01</v>
      </c>
      <c r="C3" s="69">
        <v>1</v>
      </c>
      <c r="D3" s="69">
        <v>25</v>
      </c>
      <c r="E3" s="69">
        <v>5</v>
      </c>
      <c r="F3" s="99">
        <v>0.01</v>
      </c>
      <c r="G3" s="99">
        <v>0.01</v>
      </c>
      <c r="H3" s="100">
        <v>6.0999999999999999E-2</v>
      </c>
      <c r="I3" s="100" t="s">
        <v>541</v>
      </c>
    </row>
    <row r="4" spans="1:9" x14ac:dyDescent="0.25">
      <c r="A4" s="101">
        <v>2</v>
      </c>
      <c r="B4" s="99">
        <v>0.02</v>
      </c>
      <c r="C4" s="69">
        <v>2</v>
      </c>
      <c r="D4" s="69">
        <v>50</v>
      </c>
      <c r="E4" s="69">
        <v>10</v>
      </c>
      <c r="F4" s="99">
        <v>0.02</v>
      </c>
      <c r="G4" s="99">
        <v>0.02</v>
      </c>
      <c r="H4" s="100">
        <v>6.4000000000000001E-2</v>
      </c>
    </row>
    <row r="5" spans="1:9" x14ac:dyDescent="0.25">
      <c r="A5" s="101">
        <v>3</v>
      </c>
      <c r="B5" s="99">
        <v>0.03</v>
      </c>
      <c r="C5" s="69">
        <v>3</v>
      </c>
      <c r="D5" s="69">
        <v>75</v>
      </c>
      <c r="E5" s="69">
        <v>15</v>
      </c>
      <c r="F5" s="99">
        <v>0.03</v>
      </c>
      <c r="G5" s="99">
        <v>0.03</v>
      </c>
      <c r="H5" s="100">
        <v>6.7000000000000004E-2</v>
      </c>
    </row>
    <row r="6" spans="1:9" x14ac:dyDescent="0.25">
      <c r="A6" s="101">
        <v>4</v>
      </c>
      <c r="B6" s="99">
        <v>0.04</v>
      </c>
      <c r="C6" s="69">
        <v>4</v>
      </c>
      <c r="D6" s="69">
        <v>100</v>
      </c>
      <c r="E6" s="69">
        <v>20</v>
      </c>
      <c r="F6" s="99">
        <v>0.04</v>
      </c>
      <c r="G6" s="99">
        <v>0.04</v>
      </c>
      <c r="H6" s="100">
        <v>7.0000000000000007E-2</v>
      </c>
    </row>
    <row r="7" spans="1:9" x14ac:dyDescent="0.25">
      <c r="A7" s="101">
        <v>5</v>
      </c>
      <c r="B7" s="99">
        <v>0.05</v>
      </c>
      <c r="C7" s="69">
        <v>5</v>
      </c>
      <c r="D7" s="69">
        <v>125</v>
      </c>
      <c r="E7" s="69">
        <v>25</v>
      </c>
      <c r="F7" s="99">
        <v>0.05</v>
      </c>
      <c r="G7" s="99">
        <v>0.05</v>
      </c>
      <c r="H7" s="100">
        <v>7.2999999999999995E-2</v>
      </c>
    </row>
    <row r="8" spans="1:9" x14ac:dyDescent="0.25">
      <c r="A8" s="101">
        <v>6</v>
      </c>
      <c r="B8" s="99">
        <v>0.06</v>
      </c>
      <c r="C8" s="69">
        <v>6</v>
      </c>
      <c r="D8" s="69">
        <v>150</v>
      </c>
      <c r="E8" s="69">
        <v>30</v>
      </c>
      <c r="F8" s="99">
        <v>0.06</v>
      </c>
      <c r="G8" s="99">
        <v>0.06</v>
      </c>
      <c r="H8" s="100">
        <v>7.3999999999999996E-2</v>
      </c>
    </row>
    <row r="9" spans="1:9" x14ac:dyDescent="0.25">
      <c r="A9" s="101">
        <v>7</v>
      </c>
      <c r="B9" s="99">
        <v>7.0000000000000007E-2</v>
      </c>
      <c r="C9" s="69">
        <v>7</v>
      </c>
      <c r="D9" s="69">
        <v>175</v>
      </c>
      <c r="E9" s="69">
        <v>35</v>
      </c>
      <c r="F9" s="99">
        <v>7.0000000000000007E-2</v>
      </c>
      <c r="G9" s="99">
        <v>7.0000000000000007E-2</v>
      </c>
      <c r="H9" s="100">
        <v>7.5999999999999998E-2</v>
      </c>
    </row>
    <row r="10" spans="1:9" x14ac:dyDescent="0.25">
      <c r="A10" s="101">
        <v>8</v>
      </c>
      <c r="B10" s="99">
        <v>0.08</v>
      </c>
      <c r="C10" s="69">
        <v>8</v>
      </c>
      <c r="D10" s="69">
        <v>200</v>
      </c>
      <c r="E10" s="69">
        <v>40</v>
      </c>
      <c r="F10" s="99">
        <v>0.08</v>
      </c>
      <c r="G10" s="99">
        <v>0.08</v>
      </c>
      <c r="H10" s="100">
        <v>7.8E-2</v>
      </c>
    </row>
    <row r="11" spans="1:9" x14ac:dyDescent="0.25">
      <c r="A11" s="101">
        <v>9</v>
      </c>
      <c r="B11" s="99">
        <v>0.09</v>
      </c>
      <c r="C11" s="69">
        <v>9</v>
      </c>
      <c r="D11" s="69">
        <v>225</v>
      </c>
      <c r="E11" s="69">
        <v>45</v>
      </c>
      <c r="F11" s="99">
        <v>0.09</v>
      </c>
      <c r="G11" s="99">
        <v>0.09</v>
      </c>
      <c r="H11" s="100">
        <v>7.9000000000000001E-2</v>
      </c>
    </row>
    <row r="12" spans="1:9" x14ac:dyDescent="0.25">
      <c r="A12" s="101">
        <v>10</v>
      </c>
      <c r="B12" s="99">
        <v>0.1</v>
      </c>
      <c r="C12" s="69">
        <v>10</v>
      </c>
      <c r="D12" s="69">
        <v>250</v>
      </c>
      <c r="E12" s="69">
        <v>50</v>
      </c>
      <c r="F12" s="99">
        <v>0.1</v>
      </c>
      <c r="G12" s="99">
        <v>0.1</v>
      </c>
      <c r="H12" s="100">
        <v>0.08</v>
      </c>
    </row>
    <row r="13" spans="1:9" x14ac:dyDescent="0.25">
      <c r="A13" s="101">
        <v>11</v>
      </c>
      <c r="B13" s="99">
        <v>0.11</v>
      </c>
      <c r="C13" s="69">
        <v>11</v>
      </c>
      <c r="D13" s="69">
        <v>275</v>
      </c>
      <c r="E13" s="69">
        <v>55</v>
      </c>
      <c r="F13" s="99">
        <v>0.11</v>
      </c>
      <c r="G13" s="99">
        <v>0.11</v>
      </c>
      <c r="H13" s="100">
        <v>8.2000000000000003E-2</v>
      </c>
    </row>
    <row r="14" spans="1:9" x14ac:dyDescent="0.25">
      <c r="A14" s="101">
        <v>12</v>
      </c>
      <c r="B14" s="99">
        <v>0.12</v>
      </c>
      <c r="C14" s="69">
        <v>12</v>
      </c>
      <c r="D14" s="69">
        <v>300</v>
      </c>
      <c r="E14" s="69">
        <v>60</v>
      </c>
      <c r="F14" s="99">
        <v>0.12</v>
      </c>
      <c r="G14" s="99">
        <v>0.12</v>
      </c>
      <c r="H14" s="100">
        <v>8.3000000000000004E-2</v>
      </c>
    </row>
    <row r="15" spans="1:9" x14ac:dyDescent="0.25">
      <c r="A15" s="101">
        <v>13</v>
      </c>
      <c r="B15" s="99">
        <v>0.13</v>
      </c>
      <c r="C15" s="69">
        <v>13</v>
      </c>
      <c r="D15" s="69">
        <v>325</v>
      </c>
      <c r="E15" s="69">
        <v>65</v>
      </c>
      <c r="F15" s="99">
        <v>0.13</v>
      </c>
      <c r="G15" s="99">
        <v>0.13</v>
      </c>
      <c r="H15" s="100">
        <v>8.4000000000000005E-2</v>
      </c>
    </row>
    <row r="16" spans="1:9" x14ac:dyDescent="0.25">
      <c r="A16" s="101">
        <v>14</v>
      </c>
      <c r="B16" s="99">
        <v>0.14000000000000001</v>
      </c>
      <c r="C16" s="69">
        <v>14</v>
      </c>
      <c r="D16" s="69">
        <v>350</v>
      </c>
      <c r="E16" s="69">
        <v>70</v>
      </c>
      <c r="F16" s="99">
        <v>0.14000000000000001</v>
      </c>
      <c r="G16" s="99">
        <v>0.14000000000000001</v>
      </c>
      <c r="H16" s="100">
        <v>8.5999999999999993E-2</v>
      </c>
    </row>
    <row r="17" spans="1:8" x14ac:dyDescent="0.25">
      <c r="A17" s="101">
        <v>15</v>
      </c>
      <c r="B17" s="99">
        <v>0.15</v>
      </c>
      <c r="C17" s="69">
        <v>15</v>
      </c>
      <c r="D17" s="69">
        <v>375</v>
      </c>
      <c r="E17" s="69">
        <v>75</v>
      </c>
      <c r="F17" s="99">
        <v>0.15</v>
      </c>
      <c r="G17" s="99">
        <v>0.15</v>
      </c>
      <c r="H17" s="100">
        <v>8.6999999999999994E-2</v>
      </c>
    </row>
    <row r="18" spans="1:8" x14ac:dyDescent="0.25">
      <c r="A18" s="101">
        <v>16</v>
      </c>
      <c r="B18" s="99">
        <v>0.16</v>
      </c>
      <c r="C18" s="69">
        <v>16</v>
      </c>
      <c r="D18" s="69">
        <v>400</v>
      </c>
      <c r="E18" s="69">
        <v>80</v>
      </c>
      <c r="F18" s="99">
        <v>0.16</v>
      </c>
      <c r="G18" s="99">
        <v>0.16</v>
      </c>
      <c r="H18" s="100">
        <v>8.7999999999999995E-2</v>
      </c>
    </row>
    <row r="19" spans="1:8" x14ac:dyDescent="0.25">
      <c r="A19" s="101">
        <v>17</v>
      </c>
      <c r="B19" s="99">
        <v>0.17</v>
      </c>
      <c r="C19" s="69">
        <v>17</v>
      </c>
      <c r="D19" s="69">
        <v>425</v>
      </c>
      <c r="E19" s="69">
        <v>85</v>
      </c>
      <c r="F19" s="99">
        <v>0.17</v>
      </c>
      <c r="G19" s="99">
        <v>0.17</v>
      </c>
      <c r="H19" s="100">
        <v>8.8999999999999996E-2</v>
      </c>
    </row>
    <row r="20" spans="1:8" x14ac:dyDescent="0.25">
      <c r="A20" s="101">
        <v>18</v>
      </c>
      <c r="B20" s="99">
        <v>0.18</v>
      </c>
      <c r="C20" s="69">
        <v>18</v>
      </c>
      <c r="D20" s="69">
        <v>450</v>
      </c>
      <c r="E20" s="69">
        <v>90</v>
      </c>
      <c r="F20" s="99">
        <v>0.18</v>
      </c>
      <c r="G20" s="99">
        <v>0.18</v>
      </c>
      <c r="H20" s="100">
        <v>0.09</v>
      </c>
    </row>
    <row r="21" spans="1:8" x14ac:dyDescent="0.25">
      <c r="A21" s="101">
        <v>19</v>
      </c>
      <c r="B21" s="99">
        <v>0.19</v>
      </c>
      <c r="C21" s="69">
        <v>19</v>
      </c>
      <c r="D21" s="69">
        <v>475</v>
      </c>
      <c r="E21" s="69">
        <v>95</v>
      </c>
      <c r="F21" s="99">
        <v>0.19</v>
      </c>
      <c r="G21" s="99">
        <v>0.19</v>
      </c>
      <c r="H21" s="100">
        <v>9.1999999999999998E-2</v>
      </c>
    </row>
    <row r="22" spans="1:8" x14ac:dyDescent="0.25">
      <c r="A22" s="101">
        <v>20</v>
      </c>
      <c r="B22" s="99">
        <v>0.2</v>
      </c>
      <c r="C22" s="69">
        <v>20</v>
      </c>
      <c r="D22" s="69">
        <v>500</v>
      </c>
      <c r="E22" s="69">
        <v>100</v>
      </c>
      <c r="F22" s="99">
        <v>0.2</v>
      </c>
      <c r="G22" s="99">
        <v>0.2</v>
      </c>
      <c r="H22" s="100">
        <v>9.4E-2</v>
      </c>
    </row>
    <row r="23" spans="1:8" x14ac:dyDescent="0.25">
      <c r="A23" s="101">
        <v>21</v>
      </c>
      <c r="B23" s="99">
        <v>0.21</v>
      </c>
      <c r="C23" s="69">
        <v>21</v>
      </c>
      <c r="D23" s="69">
        <v>525</v>
      </c>
      <c r="E23" s="69">
        <v>105</v>
      </c>
      <c r="F23" s="99">
        <v>0.21</v>
      </c>
      <c r="G23" s="99">
        <v>0.21</v>
      </c>
      <c r="H23" s="100">
        <v>9.5000000000000001E-2</v>
      </c>
    </row>
    <row r="24" spans="1:8" x14ac:dyDescent="0.25">
      <c r="A24" s="101">
        <v>22</v>
      </c>
      <c r="B24" s="99">
        <v>0.22</v>
      </c>
      <c r="C24" s="69">
        <v>22</v>
      </c>
      <c r="D24" s="69">
        <v>550</v>
      </c>
      <c r="E24" s="69">
        <v>110</v>
      </c>
      <c r="F24" s="99">
        <v>0.22</v>
      </c>
      <c r="G24" s="99">
        <v>0.22</v>
      </c>
      <c r="H24" s="100">
        <v>9.6000000000000002E-2</v>
      </c>
    </row>
    <row r="25" spans="1:8" x14ac:dyDescent="0.25">
      <c r="A25" s="101">
        <v>23</v>
      </c>
      <c r="B25" s="99">
        <v>0.23</v>
      </c>
      <c r="C25" s="69">
        <v>23</v>
      </c>
      <c r="D25" s="69">
        <v>575</v>
      </c>
      <c r="E25" s="69">
        <v>115</v>
      </c>
      <c r="F25" s="99">
        <v>0.23</v>
      </c>
      <c r="G25" s="99">
        <v>0.23</v>
      </c>
      <c r="H25" s="100">
        <v>9.7000000000000003E-2</v>
      </c>
    </row>
    <row r="26" spans="1:8" x14ac:dyDescent="0.25">
      <c r="A26" s="101">
        <v>24</v>
      </c>
      <c r="B26" s="99">
        <v>0.24</v>
      </c>
      <c r="C26" s="69">
        <v>24</v>
      </c>
      <c r="D26" s="69">
        <v>600</v>
      </c>
      <c r="E26" s="69">
        <v>120</v>
      </c>
      <c r="F26" s="99">
        <v>0.24</v>
      </c>
      <c r="G26" s="99">
        <v>0.24</v>
      </c>
      <c r="H26" s="100">
        <v>9.9000000000000005E-2</v>
      </c>
    </row>
    <row r="27" spans="1:8" x14ac:dyDescent="0.25">
      <c r="A27" s="101">
        <v>25</v>
      </c>
      <c r="B27" s="99">
        <v>0.25</v>
      </c>
      <c r="C27" s="69">
        <v>25</v>
      </c>
      <c r="D27" s="69">
        <v>625</v>
      </c>
      <c r="E27" s="69">
        <v>125</v>
      </c>
      <c r="F27" s="99">
        <v>0.25</v>
      </c>
      <c r="G27" s="99">
        <v>0.25</v>
      </c>
      <c r="H27" s="100">
        <v>0.1</v>
      </c>
    </row>
    <row r="28" spans="1:8" x14ac:dyDescent="0.25">
      <c r="A28" s="101">
        <v>26</v>
      </c>
      <c r="B28" s="99">
        <v>0.26</v>
      </c>
      <c r="C28" s="69">
        <v>26</v>
      </c>
      <c r="D28" s="69">
        <v>650</v>
      </c>
      <c r="E28" s="69">
        <v>130</v>
      </c>
      <c r="F28" s="99">
        <v>0.26</v>
      </c>
      <c r="G28" s="99">
        <v>0.26</v>
      </c>
      <c r="H28" s="100">
        <v>0.10100000000000001</v>
      </c>
    </row>
    <row r="29" spans="1:8" x14ac:dyDescent="0.25">
      <c r="A29" s="101">
        <v>27</v>
      </c>
      <c r="B29" s="99">
        <v>0.27</v>
      </c>
      <c r="C29" s="69">
        <v>27</v>
      </c>
      <c r="D29" s="69">
        <v>675</v>
      </c>
      <c r="E29" s="69">
        <v>135</v>
      </c>
      <c r="F29" s="99">
        <v>0.27</v>
      </c>
      <c r="G29" s="99">
        <v>0.27</v>
      </c>
      <c r="H29" s="100">
        <v>0.10199999999999999</v>
      </c>
    </row>
    <row r="30" spans="1:8" x14ac:dyDescent="0.25">
      <c r="A30" s="101">
        <v>28</v>
      </c>
      <c r="B30" s="99">
        <v>0.28000000000000003</v>
      </c>
      <c r="C30" s="69">
        <v>28</v>
      </c>
      <c r="D30" s="69">
        <v>700</v>
      </c>
      <c r="E30" s="69">
        <v>140</v>
      </c>
      <c r="F30" s="99">
        <v>0.28000000000000003</v>
      </c>
      <c r="G30" s="99">
        <v>0.28000000000000003</v>
      </c>
      <c r="H30" s="100">
        <v>0.10299999999999999</v>
      </c>
    </row>
    <row r="31" spans="1:8" x14ac:dyDescent="0.25">
      <c r="A31" s="101">
        <v>29</v>
      </c>
      <c r="B31" s="99">
        <v>0.28999999999999998</v>
      </c>
      <c r="C31" s="69">
        <v>29</v>
      </c>
      <c r="D31" s="69">
        <v>725</v>
      </c>
      <c r="E31" s="69">
        <v>145</v>
      </c>
      <c r="F31" s="99">
        <v>0.28999999999999998</v>
      </c>
      <c r="G31" s="99">
        <v>0.28999999999999998</v>
      </c>
      <c r="H31" s="100">
        <v>0.104</v>
      </c>
    </row>
    <row r="32" spans="1:8" x14ac:dyDescent="0.25">
      <c r="A32" s="101">
        <v>30</v>
      </c>
      <c r="B32" s="99">
        <v>0.3</v>
      </c>
      <c r="C32" s="69">
        <v>30</v>
      </c>
      <c r="D32" s="69">
        <v>750</v>
      </c>
      <c r="E32" s="69">
        <v>150</v>
      </c>
      <c r="F32" s="99">
        <v>0.3</v>
      </c>
      <c r="G32" s="99">
        <v>0.3</v>
      </c>
      <c r="H32" s="100">
        <v>0.106</v>
      </c>
    </row>
    <row r="33" spans="2:8" x14ac:dyDescent="0.25">
      <c r="B33" s="99">
        <v>0.31</v>
      </c>
      <c r="C33" s="69">
        <v>31</v>
      </c>
      <c r="D33" s="69">
        <v>775</v>
      </c>
      <c r="E33" s="69">
        <v>155</v>
      </c>
      <c r="F33" s="99">
        <v>0.31</v>
      </c>
      <c r="G33" s="99">
        <v>0.31</v>
      </c>
      <c r="H33" s="100">
        <v>0.107</v>
      </c>
    </row>
    <row r="34" spans="2:8" x14ac:dyDescent="0.25">
      <c r="B34" s="99">
        <v>0.32</v>
      </c>
      <c r="C34" s="69">
        <v>32</v>
      </c>
      <c r="D34" s="69">
        <v>800</v>
      </c>
      <c r="E34" s="69">
        <v>160</v>
      </c>
      <c r="F34" s="99">
        <v>0.32</v>
      </c>
      <c r="G34" s="99">
        <v>0.32</v>
      </c>
      <c r="H34" s="100">
        <v>0.108</v>
      </c>
    </row>
    <row r="35" spans="2:8" x14ac:dyDescent="0.25">
      <c r="B35" s="99">
        <v>0.33</v>
      </c>
      <c r="C35" s="69">
        <v>33</v>
      </c>
      <c r="D35" s="69">
        <v>825</v>
      </c>
      <c r="E35" s="69">
        <v>165</v>
      </c>
      <c r="F35" s="99">
        <v>0.33</v>
      </c>
      <c r="G35" s="99">
        <v>0.33</v>
      </c>
      <c r="H35" s="100">
        <v>0.11</v>
      </c>
    </row>
    <row r="36" spans="2:8" x14ac:dyDescent="0.25">
      <c r="B36" s="99">
        <v>0.34</v>
      </c>
      <c r="C36" s="69">
        <v>34</v>
      </c>
      <c r="D36" s="69">
        <v>850</v>
      </c>
      <c r="E36" s="69">
        <v>170</v>
      </c>
      <c r="F36" s="99">
        <v>0.34</v>
      </c>
      <c r="G36" s="99">
        <v>0.34</v>
      </c>
      <c r="H36" s="100">
        <v>0.111</v>
      </c>
    </row>
    <row r="37" spans="2:8" x14ac:dyDescent="0.25">
      <c r="B37" s="99">
        <v>0.35</v>
      </c>
      <c r="C37" s="69">
        <v>35</v>
      </c>
      <c r="D37" s="69">
        <v>875</v>
      </c>
      <c r="E37" s="69">
        <v>175</v>
      </c>
      <c r="F37" s="99">
        <v>0.35</v>
      </c>
      <c r="G37" s="99">
        <v>0.35</v>
      </c>
      <c r="H37" s="100">
        <v>0.112</v>
      </c>
    </row>
    <row r="38" spans="2:8" x14ac:dyDescent="0.25">
      <c r="B38" s="99">
        <v>0.36</v>
      </c>
      <c r="C38" s="69">
        <v>36</v>
      </c>
      <c r="D38" s="69">
        <v>900</v>
      </c>
      <c r="E38" s="69">
        <v>180</v>
      </c>
      <c r="F38" s="99">
        <v>0.36</v>
      </c>
      <c r="G38" s="99">
        <v>0.36</v>
      </c>
      <c r="H38" s="100">
        <v>0.113</v>
      </c>
    </row>
    <row r="39" spans="2:8" x14ac:dyDescent="0.25">
      <c r="B39" s="99">
        <v>0.37</v>
      </c>
      <c r="C39" s="69">
        <v>37</v>
      </c>
      <c r="D39" s="69">
        <v>925</v>
      </c>
      <c r="E39" s="69">
        <v>185</v>
      </c>
      <c r="F39" s="99">
        <v>0.37</v>
      </c>
      <c r="G39" s="99">
        <v>0.37</v>
      </c>
      <c r="H39" s="100">
        <v>0.114</v>
      </c>
    </row>
    <row r="40" spans="2:8" x14ac:dyDescent="0.25">
      <c r="B40" s="99">
        <v>0.38</v>
      </c>
      <c r="C40" s="69">
        <v>38</v>
      </c>
      <c r="D40" s="69">
        <v>950</v>
      </c>
      <c r="E40" s="69">
        <v>190</v>
      </c>
      <c r="F40" s="99">
        <v>0.38</v>
      </c>
      <c r="G40" s="99">
        <v>0.38</v>
      </c>
      <c r="H40" s="100">
        <v>0.11700000000000001</v>
      </c>
    </row>
    <row r="41" spans="2:8" x14ac:dyDescent="0.25">
      <c r="B41" s="99">
        <v>0.39</v>
      </c>
      <c r="C41" s="69">
        <v>39</v>
      </c>
      <c r="D41" s="69">
        <v>975</v>
      </c>
      <c r="E41" s="69">
        <v>195</v>
      </c>
      <c r="F41" s="99">
        <v>0.39</v>
      </c>
      <c r="G41" s="99">
        <v>0.39</v>
      </c>
      <c r="H41" s="100">
        <v>0.11899999999999999</v>
      </c>
    </row>
    <row r="42" spans="2:8" x14ac:dyDescent="0.25">
      <c r="B42" s="99">
        <v>0.4</v>
      </c>
      <c r="C42" s="69">
        <v>40</v>
      </c>
      <c r="D42" s="69">
        <v>1000</v>
      </c>
      <c r="E42" s="69">
        <v>200</v>
      </c>
      <c r="F42" s="99">
        <v>0.4</v>
      </c>
      <c r="G42" s="99">
        <v>0.4</v>
      </c>
      <c r="H42" s="100">
        <v>0.12</v>
      </c>
    </row>
    <row r="43" spans="2:8" x14ac:dyDescent="0.25">
      <c r="B43" s="99">
        <v>0.41</v>
      </c>
      <c r="C43" s="69">
        <v>41</v>
      </c>
      <c r="D43" s="69">
        <v>1025</v>
      </c>
      <c r="E43" s="69">
        <v>205</v>
      </c>
      <c r="F43" s="99">
        <v>0.41</v>
      </c>
      <c r="G43" s="99">
        <v>0.41</v>
      </c>
      <c r="H43" s="100">
        <v>0.121</v>
      </c>
    </row>
    <row r="44" spans="2:8" x14ac:dyDescent="0.25">
      <c r="B44" s="99">
        <v>0.42</v>
      </c>
      <c r="C44" s="69">
        <v>42</v>
      </c>
      <c r="D44" s="69">
        <v>1050</v>
      </c>
      <c r="E44" s="69">
        <v>210</v>
      </c>
      <c r="F44" s="99">
        <v>0.42</v>
      </c>
      <c r="G44" s="99">
        <v>0.42</v>
      </c>
      <c r="H44" s="100">
        <v>0.122</v>
      </c>
    </row>
    <row r="45" spans="2:8" x14ac:dyDescent="0.25">
      <c r="B45" s="99">
        <v>0.43</v>
      </c>
      <c r="C45" s="69">
        <v>43</v>
      </c>
      <c r="D45" s="69">
        <v>1075</v>
      </c>
      <c r="E45" s="69">
        <v>215</v>
      </c>
      <c r="F45" s="99">
        <v>0.43</v>
      </c>
      <c r="G45" s="99">
        <v>0.43</v>
      </c>
      <c r="H45" s="100">
        <v>0.123</v>
      </c>
    </row>
    <row r="46" spans="2:8" x14ac:dyDescent="0.25">
      <c r="B46" s="99">
        <v>0.439999999999999</v>
      </c>
      <c r="C46" s="69">
        <v>44</v>
      </c>
      <c r="D46" s="69">
        <v>1100</v>
      </c>
      <c r="E46" s="69">
        <v>220</v>
      </c>
      <c r="F46" s="99">
        <v>0.44</v>
      </c>
      <c r="G46" s="99">
        <v>0.44</v>
      </c>
      <c r="H46" s="100">
        <v>0.124</v>
      </c>
    </row>
    <row r="47" spans="2:8" x14ac:dyDescent="0.25">
      <c r="B47" s="99">
        <v>0.44999999999999901</v>
      </c>
      <c r="C47" s="69">
        <v>45</v>
      </c>
      <c r="D47" s="69">
        <v>1125</v>
      </c>
      <c r="E47" s="69">
        <v>225</v>
      </c>
      <c r="F47" s="99">
        <v>0.45</v>
      </c>
      <c r="G47" s="99">
        <v>0.45</v>
      </c>
      <c r="H47" s="100">
        <v>0.125</v>
      </c>
    </row>
    <row r="48" spans="2:8" x14ac:dyDescent="0.25">
      <c r="B48" s="99">
        <v>0.45999999999999902</v>
      </c>
      <c r="C48" s="69">
        <v>46</v>
      </c>
      <c r="D48" s="69">
        <v>1150</v>
      </c>
      <c r="E48" s="69">
        <v>230</v>
      </c>
      <c r="F48" s="99">
        <v>0.46</v>
      </c>
      <c r="G48" s="99">
        <v>0.46</v>
      </c>
      <c r="H48" s="100">
        <v>0.126</v>
      </c>
    </row>
    <row r="49" spans="2:8" x14ac:dyDescent="0.25">
      <c r="B49" s="99">
        <v>0.46999999999999897</v>
      </c>
      <c r="C49" s="69">
        <v>47</v>
      </c>
      <c r="D49" s="69">
        <v>1175</v>
      </c>
      <c r="E49" s="69">
        <v>235</v>
      </c>
      <c r="F49" s="99">
        <v>0.47</v>
      </c>
      <c r="G49" s="99">
        <v>0.47</v>
      </c>
      <c r="H49" s="100">
        <v>0.127</v>
      </c>
    </row>
    <row r="50" spans="2:8" x14ac:dyDescent="0.25">
      <c r="B50" s="99">
        <v>0.47999999999999898</v>
      </c>
      <c r="C50" s="69">
        <v>48</v>
      </c>
      <c r="D50" s="69">
        <v>1200</v>
      </c>
      <c r="E50" s="69">
        <v>240</v>
      </c>
      <c r="F50" s="99">
        <v>0.48</v>
      </c>
      <c r="G50" s="99">
        <v>0.48</v>
      </c>
      <c r="H50" s="100">
        <v>0.128</v>
      </c>
    </row>
    <row r="51" spans="2:8" x14ac:dyDescent="0.25">
      <c r="B51" s="99">
        <v>0.48999999999999899</v>
      </c>
      <c r="C51" s="69">
        <v>49</v>
      </c>
      <c r="D51" s="69">
        <v>1225</v>
      </c>
      <c r="E51" s="69">
        <v>245</v>
      </c>
      <c r="F51" s="99">
        <v>0.49</v>
      </c>
      <c r="G51" s="99">
        <v>0.49</v>
      </c>
      <c r="H51" s="100">
        <v>0.13</v>
      </c>
    </row>
    <row r="52" spans="2:8" x14ac:dyDescent="0.25">
      <c r="B52" s="99">
        <v>0.499999999999999</v>
      </c>
      <c r="C52" s="69">
        <v>50</v>
      </c>
      <c r="D52" s="69">
        <v>1250</v>
      </c>
      <c r="E52" s="69">
        <v>250</v>
      </c>
      <c r="F52" s="99">
        <v>0.5</v>
      </c>
      <c r="G52" s="99">
        <v>0.5</v>
      </c>
      <c r="H52" s="100">
        <v>0.13100000000000001</v>
      </c>
    </row>
    <row r="53" spans="2:8" x14ac:dyDescent="0.25">
      <c r="B53" s="99">
        <v>0.50999999999999901</v>
      </c>
      <c r="C53" s="69">
        <v>51</v>
      </c>
      <c r="D53" s="69">
        <v>1275</v>
      </c>
      <c r="E53" s="69">
        <v>255</v>
      </c>
      <c r="F53" s="99">
        <v>0.51</v>
      </c>
      <c r="G53" s="99">
        <v>0.51</v>
      </c>
      <c r="H53" s="100">
        <v>0.13200000000000001</v>
      </c>
    </row>
    <row r="54" spans="2:8" x14ac:dyDescent="0.25">
      <c r="B54" s="99">
        <v>0.51999999999999902</v>
      </c>
      <c r="C54" s="69">
        <v>52</v>
      </c>
      <c r="D54" s="69">
        <v>1300</v>
      </c>
      <c r="E54" s="69">
        <v>260</v>
      </c>
      <c r="F54" s="99">
        <v>0.52</v>
      </c>
      <c r="G54" s="99">
        <v>0.52</v>
      </c>
      <c r="H54" s="100">
        <v>0.13300000000000001</v>
      </c>
    </row>
    <row r="55" spans="2:8" x14ac:dyDescent="0.25">
      <c r="B55" s="99">
        <v>0.52999999999999903</v>
      </c>
      <c r="C55" s="69">
        <v>53</v>
      </c>
      <c r="D55" s="69">
        <v>1325</v>
      </c>
      <c r="E55" s="69">
        <v>265</v>
      </c>
      <c r="F55" s="99">
        <v>0.53</v>
      </c>
      <c r="G55" s="99">
        <v>0.53</v>
      </c>
      <c r="H55" s="100">
        <v>0.13400000000000001</v>
      </c>
    </row>
    <row r="56" spans="2:8" x14ac:dyDescent="0.25">
      <c r="B56" s="99">
        <v>0.53999999999999904</v>
      </c>
      <c r="C56" s="69">
        <v>54</v>
      </c>
      <c r="D56" s="69">
        <v>1350</v>
      </c>
      <c r="E56" s="69">
        <v>270</v>
      </c>
      <c r="F56" s="99">
        <v>0.54</v>
      </c>
      <c r="G56" s="99">
        <v>0.54</v>
      </c>
      <c r="H56" s="100">
        <v>0.13600000000000001</v>
      </c>
    </row>
    <row r="57" spans="2:8" x14ac:dyDescent="0.25">
      <c r="B57" s="99">
        <v>0.54999999999999905</v>
      </c>
      <c r="C57" s="69">
        <v>55</v>
      </c>
      <c r="D57" s="69">
        <v>1375</v>
      </c>
      <c r="E57" s="69">
        <v>275</v>
      </c>
      <c r="F57" s="99">
        <v>0.55000000000000004</v>
      </c>
      <c r="G57" s="99">
        <v>0.55000000000000004</v>
      </c>
      <c r="H57" s="100">
        <v>0.13700000000000001</v>
      </c>
    </row>
    <row r="58" spans="2:8" x14ac:dyDescent="0.25">
      <c r="B58" s="99">
        <v>0.55999999999999905</v>
      </c>
      <c r="C58" s="69">
        <v>56</v>
      </c>
      <c r="D58" s="69">
        <v>1400</v>
      </c>
      <c r="E58" s="69">
        <v>280</v>
      </c>
      <c r="F58" s="99">
        <v>0.56000000000000005</v>
      </c>
      <c r="G58" s="99">
        <v>0.56000000000000005</v>
      </c>
      <c r="H58" s="100">
        <v>0.13800000000000001</v>
      </c>
    </row>
    <row r="59" spans="2:8" x14ac:dyDescent="0.25">
      <c r="B59" s="99">
        <v>0.56999999999999895</v>
      </c>
      <c r="C59" s="69">
        <v>57</v>
      </c>
      <c r="D59" s="69">
        <v>1425</v>
      </c>
      <c r="E59" s="69">
        <v>285</v>
      </c>
      <c r="F59" s="99">
        <v>0.56999999999999995</v>
      </c>
      <c r="G59" s="99">
        <v>0.56999999999999995</v>
      </c>
      <c r="H59" s="100">
        <v>0.13900000000000001</v>
      </c>
    </row>
    <row r="60" spans="2:8" x14ac:dyDescent="0.25">
      <c r="B60" s="99">
        <v>0.57999999999999896</v>
      </c>
      <c r="C60" s="69">
        <v>58</v>
      </c>
      <c r="D60" s="69">
        <v>1450</v>
      </c>
      <c r="E60" s="69">
        <v>290</v>
      </c>
      <c r="F60" s="99">
        <v>0.57999999999999996</v>
      </c>
      <c r="G60" s="99">
        <v>0.57999999999999996</v>
      </c>
      <c r="H60" s="100">
        <v>0.14000000000000001</v>
      </c>
    </row>
    <row r="61" spans="2:8" x14ac:dyDescent="0.25">
      <c r="B61" s="99">
        <v>0.58999999999999897</v>
      </c>
      <c r="C61" s="69">
        <v>59</v>
      </c>
      <c r="D61" s="69">
        <v>1475</v>
      </c>
      <c r="E61" s="69">
        <v>295</v>
      </c>
      <c r="F61" s="99">
        <v>0.59</v>
      </c>
      <c r="G61" s="99">
        <v>0.59</v>
      </c>
      <c r="H61" s="100">
        <v>0.14099999999999999</v>
      </c>
    </row>
    <row r="62" spans="2:8" x14ac:dyDescent="0.25">
      <c r="B62" s="99">
        <v>0.59999999999999898</v>
      </c>
      <c r="C62" s="69">
        <v>60</v>
      </c>
      <c r="D62" s="69">
        <v>1500</v>
      </c>
      <c r="E62" s="69">
        <v>300</v>
      </c>
      <c r="F62" s="99">
        <v>0.6</v>
      </c>
      <c r="G62" s="99">
        <v>0.6</v>
      </c>
      <c r="H62" s="100">
        <v>0.14199999999999999</v>
      </c>
    </row>
    <row r="63" spans="2:8" x14ac:dyDescent="0.25">
      <c r="B63" s="99">
        <v>0.60999999999999899</v>
      </c>
      <c r="C63" s="69">
        <v>61</v>
      </c>
      <c r="D63" s="69">
        <v>1525</v>
      </c>
      <c r="E63" s="69">
        <v>305</v>
      </c>
      <c r="F63" s="99">
        <v>0.61</v>
      </c>
      <c r="G63" s="99">
        <v>0.61</v>
      </c>
      <c r="H63" s="100">
        <v>0.14299999999999999</v>
      </c>
    </row>
    <row r="64" spans="2:8" x14ac:dyDescent="0.25">
      <c r="B64" s="99">
        <v>0.619999999999999</v>
      </c>
      <c r="C64" s="69">
        <v>62</v>
      </c>
      <c r="D64" s="69">
        <v>1550</v>
      </c>
      <c r="E64" s="69">
        <v>310</v>
      </c>
      <c r="F64" s="99">
        <v>0.62</v>
      </c>
      <c r="G64" s="99">
        <v>0.62</v>
      </c>
      <c r="H64" s="100">
        <v>0.14399999999999999</v>
      </c>
    </row>
    <row r="65" spans="2:8" x14ac:dyDescent="0.25">
      <c r="B65" s="99">
        <v>0.62999999999999901</v>
      </c>
      <c r="C65" s="69">
        <v>63</v>
      </c>
      <c r="D65" s="69">
        <v>1575</v>
      </c>
      <c r="E65" s="69">
        <v>315</v>
      </c>
      <c r="F65" s="99">
        <v>0.63</v>
      </c>
      <c r="G65" s="99">
        <v>0.63</v>
      </c>
      <c r="H65" s="100">
        <v>0.14599999999999999</v>
      </c>
    </row>
    <row r="66" spans="2:8" x14ac:dyDescent="0.25">
      <c r="B66" s="99">
        <v>0.63999999999999901</v>
      </c>
      <c r="C66" s="69">
        <v>64</v>
      </c>
      <c r="D66" s="69">
        <v>1600</v>
      </c>
      <c r="E66" s="69">
        <v>320</v>
      </c>
      <c r="F66" s="99">
        <v>0.64</v>
      </c>
      <c r="G66" s="99">
        <v>0.64</v>
      </c>
      <c r="H66" s="100">
        <v>0.14699999999999999</v>
      </c>
    </row>
    <row r="67" spans="2:8" x14ac:dyDescent="0.25">
      <c r="B67" s="99">
        <v>0.64999999999999902</v>
      </c>
      <c r="C67" s="69">
        <v>65</v>
      </c>
      <c r="D67" s="69">
        <v>1625</v>
      </c>
      <c r="E67" s="69">
        <v>325</v>
      </c>
      <c r="F67" s="99">
        <v>0.65</v>
      </c>
      <c r="G67" s="99">
        <v>0.65</v>
      </c>
      <c r="H67" s="100">
        <v>0.14799999999999999</v>
      </c>
    </row>
    <row r="68" spans="2:8" x14ac:dyDescent="0.25">
      <c r="B68" s="99">
        <v>0.65999999999999903</v>
      </c>
      <c r="C68" s="69">
        <v>66</v>
      </c>
      <c r="D68" s="69">
        <v>1650</v>
      </c>
      <c r="E68" s="69">
        <v>330</v>
      </c>
      <c r="F68" s="99">
        <v>0.66</v>
      </c>
      <c r="G68" s="99">
        <v>0.66</v>
      </c>
      <c r="H68" s="100">
        <v>0.14899999999999999</v>
      </c>
    </row>
    <row r="69" spans="2:8" x14ac:dyDescent="0.25">
      <c r="B69" s="99">
        <v>0.66999999999999904</v>
      </c>
      <c r="C69" s="69">
        <v>67</v>
      </c>
      <c r="D69" s="69">
        <v>1675</v>
      </c>
      <c r="E69" s="69">
        <v>335</v>
      </c>
      <c r="F69" s="99">
        <v>0.67</v>
      </c>
      <c r="G69" s="99">
        <v>0.67</v>
      </c>
      <c r="H69" s="100">
        <v>0.151</v>
      </c>
    </row>
    <row r="70" spans="2:8" x14ac:dyDescent="0.25">
      <c r="B70" s="99">
        <v>0.67999999999999905</v>
      </c>
      <c r="C70" s="69">
        <v>68</v>
      </c>
      <c r="D70" s="69">
        <v>1700</v>
      </c>
      <c r="E70" s="69">
        <v>340</v>
      </c>
      <c r="F70" s="99">
        <v>0.68</v>
      </c>
      <c r="G70" s="99">
        <v>0.68</v>
      </c>
      <c r="H70" s="100">
        <v>0.153</v>
      </c>
    </row>
    <row r="71" spans="2:8" x14ac:dyDescent="0.25">
      <c r="B71" s="99">
        <v>0.68999999999999895</v>
      </c>
      <c r="C71" s="69">
        <v>69</v>
      </c>
      <c r="D71" s="69">
        <v>1725</v>
      </c>
      <c r="E71" s="69">
        <v>345</v>
      </c>
      <c r="F71" s="99">
        <v>0.69</v>
      </c>
      <c r="G71" s="99">
        <v>0.69</v>
      </c>
      <c r="H71" s="100">
        <v>0.154</v>
      </c>
    </row>
    <row r="72" spans="2:8" x14ac:dyDescent="0.25">
      <c r="B72" s="99">
        <v>0.69999999999999896</v>
      </c>
      <c r="C72" s="69">
        <v>70</v>
      </c>
      <c r="D72" s="69">
        <v>1750</v>
      </c>
      <c r="E72" s="69">
        <v>350</v>
      </c>
      <c r="F72" s="99">
        <v>0.7</v>
      </c>
      <c r="G72" s="99">
        <v>0.7</v>
      </c>
      <c r="H72" s="100">
        <v>0.155</v>
      </c>
    </row>
    <row r="73" spans="2:8" x14ac:dyDescent="0.25">
      <c r="B73" s="99">
        <v>0.70999999999999897</v>
      </c>
      <c r="C73" s="69">
        <v>71</v>
      </c>
      <c r="D73" s="69">
        <v>1775</v>
      </c>
      <c r="E73" s="69">
        <v>355</v>
      </c>
      <c r="F73" s="99">
        <v>0.71</v>
      </c>
      <c r="G73" s="99">
        <v>0.71</v>
      </c>
      <c r="H73" s="100">
        <v>0.156</v>
      </c>
    </row>
    <row r="74" spans="2:8" x14ac:dyDescent="0.25">
      <c r="B74" s="99">
        <v>0.71999999999999897</v>
      </c>
      <c r="C74" s="69">
        <v>72</v>
      </c>
      <c r="D74" s="69">
        <v>1800</v>
      </c>
      <c r="E74" s="69">
        <v>360</v>
      </c>
      <c r="F74" s="99">
        <v>0.72</v>
      </c>
      <c r="G74" s="99">
        <v>0.72</v>
      </c>
      <c r="H74" s="100">
        <v>0.157</v>
      </c>
    </row>
    <row r="75" spans="2:8" x14ac:dyDescent="0.25">
      <c r="B75" s="99">
        <v>0.72999999999999898</v>
      </c>
      <c r="C75" s="69">
        <v>73</v>
      </c>
      <c r="D75" s="69">
        <v>1825</v>
      </c>
      <c r="E75" s="69">
        <v>365</v>
      </c>
      <c r="F75" s="99">
        <v>0.73</v>
      </c>
      <c r="G75" s="99">
        <v>0.73</v>
      </c>
      <c r="H75" s="100">
        <v>0.159</v>
      </c>
    </row>
    <row r="76" spans="2:8" x14ac:dyDescent="0.25">
      <c r="B76" s="99">
        <v>0.73999999999999899</v>
      </c>
      <c r="C76" s="69">
        <v>74</v>
      </c>
      <c r="D76" s="69">
        <v>1850</v>
      </c>
      <c r="E76" s="69">
        <v>370</v>
      </c>
      <c r="F76" s="99">
        <v>0.74</v>
      </c>
      <c r="G76" s="99">
        <v>0.74</v>
      </c>
      <c r="H76" s="100">
        <v>0.16</v>
      </c>
    </row>
    <row r="77" spans="2:8" x14ac:dyDescent="0.25">
      <c r="B77" s="99">
        <v>0.749999999999999</v>
      </c>
      <c r="C77" s="69">
        <v>75</v>
      </c>
      <c r="D77" s="69">
        <v>1875</v>
      </c>
      <c r="E77" s="69">
        <v>375</v>
      </c>
      <c r="F77" s="99">
        <v>0.75</v>
      </c>
      <c r="G77" s="99">
        <v>0.75</v>
      </c>
      <c r="H77" s="100">
        <v>0.161</v>
      </c>
    </row>
    <row r="78" spans="2:8" x14ac:dyDescent="0.25">
      <c r="B78" s="99">
        <v>0.75999999999999901</v>
      </c>
      <c r="C78" s="69">
        <v>76</v>
      </c>
      <c r="D78" s="69">
        <v>1900</v>
      </c>
      <c r="E78" s="69">
        <v>380</v>
      </c>
      <c r="F78" s="99">
        <v>0.76</v>
      </c>
      <c r="G78" s="99">
        <v>0.76</v>
      </c>
      <c r="H78" s="100">
        <v>0.16300000000000001</v>
      </c>
    </row>
    <row r="79" spans="2:8" x14ac:dyDescent="0.25">
      <c r="B79" s="99">
        <v>0.76999999999999902</v>
      </c>
      <c r="C79" s="69">
        <v>77</v>
      </c>
      <c r="D79" s="69">
        <v>1925</v>
      </c>
      <c r="E79" s="69">
        <v>385</v>
      </c>
      <c r="F79" s="99">
        <v>0.77</v>
      </c>
      <c r="G79" s="99">
        <v>0.77</v>
      </c>
      <c r="H79" s="100">
        <v>0.16500000000000001</v>
      </c>
    </row>
    <row r="80" spans="2:8" x14ac:dyDescent="0.25">
      <c r="B80" s="99">
        <v>0.77999999999999903</v>
      </c>
      <c r="C80" s="69">
        <v>78</v>
      </c>
      <c r="D80" s="69">
        <v>1950</v>
      </c>
      <c r="E80" s="69">
        <v>390</v>
      </c>
      <c r="F80" s="99">
        <v>0.78</v>
      </c>
      <c r="G80" s="99">
        <v>0.78</v>
      </c>
      <c r="H80" s="100">
        <v>0.16700000000000001</v>
      </c>
    </row>
    <row r="81" spans="2:8" x14ac:dyDescent="0.25">
      <c r="B81" s="99">
        <v>0.78999999999999904</v>
      </c>
      <c r="C81" s="69">
        <v>79</v>
      </c>
      <c r="D81" s="69">
        <v>1975</v>
      </c>
      <c r="E81" s="69">
        <v>395</v>
      </c>
      <c r="F81" s="99">
        <v>0.79</v>
      </c>
      <c r="G81" s="99">
        <v>0.79</v>
      </c>
      <c r="H81" s="100">
        <v>0.16800000000000001</v>
      </c>
    </row>
    <row r="82" spans="2:8" x14ac:dyDescent="0.25">
      <c r="B82" s="99">
        <v>0.79999999999999905</v>
      </c>
      <c r="C82" s="69">
        <v>80</v>
      </c>
      <c r="D82" s="69">
        <v>2000</v>
      </c>
      <c r="E82" s="69">
        <v>400</v>
      </c>
      <c r="F82" s="99">
        <v>0.8</v>
      </c>
      <c r="G82" s="99">
        <v>0.8</v>
      </c>
      <c r="H82" s="100">
        <v>0.16900000000000001</v>
      </c>
    </row>
    <row r="83" spans="2:8" x14ac:dyDescent="0.25">
      <c r="B83" s="99">
        <v>0.80999999999999905</v>
      </c>
      <c r="C83" s="69">
        <v>81</v>
      </c>
      <c r="D83" s="69">
        <v>2025</v>
      </c>
      <c r="E83" s="69">
        <v>405</v>
      </c>
      <c r="F83" s="99">
        <v>0.81</v>
      </c>
      <c r="G83" s="99">
        <v>0.81</v>
      </c>
      <c r="H83" s="100">
        <v>0.17</v>
      </c>
    </row>
    <row r="84" spans="2:8" x14ac:dyDescent="0.25">
      <c r="B84" s="99">
        <v>0.81999999999999895</v>
      </c>
      <c r="C84" s="69">
        <v>82</v>
      </c>
      <c r="D84" s="69">
        <v>2050</v>
      </c>
      <c r="E84" s="69">
        <v>410</v>
      </c>
      <c r="F84" s="99">
        <v>0.82</v>
      </c>
      <c r="G84" s="99">
        <v>0.82</v>
      </c>
      <c r="H84" s="100">
        <v>0.17100000000000001</v>
      </c>
    </row>
    <row r="85" spans="2:8" x14ac:dyDescent="0.25">
      <c r="B85" s="99">
        <v>0.82999999999999896</v>
      </c>
      <c r="C85" s="69">
        <v>83</v>
      </c>
      <c r="D85" s="69">
        <v>2075</v>
      </c>
      <c r="E85" s="69">
        <v>415</v>
      </c>
      <c r="F85" s="99">
        <v>0.83</v>
      </c>
      <c r="G85" s="99">
        <v>0.83</v>
      </c>
      <c r="H85" s="100">
        <v>0.17299999999999999</v>
      </c>
    </row>
    <row r="86" spans="2:8" x14ac:dyDescent="0.25">
      <c r="B86" s="99">
        <v>0.83999999999999897</v>
      </c>
      <c r="C86" s="69">
        <v>84</v>
      </c>
      <c r="D86" s="69">
        <v>2100</v>
      </c>
      <c r="E86" s="69">
        <v>420</v>
      </c>
      <c r="F86" s="99">
        <v>0.84</v>
      </c>
      <c r="G86" s="99">
        <v>0.84</v>
      </c>
      <c r="H86" s="100">
        <v>0.17399999999999999</v>
      </c>
    </row>
    <row r="87" spans="2:8" x14ac:dyDescent="0.25">
      <c r="B87" s="99">
        <v>0.84999999999999898</v>
      </c>
      <c r="C87" s="69">
        <v>85</v>
      </c>
      <c r="D87" s="69">
        <v>2125</v>
      </c>
      <c r="E87" s="69">
        <v>425</v>
      </c>
      <c r="F87" s="99">
        <v>0.85</v>
      </c>
      <c r="G87" s="99">
        <v>0.85</v>
      </c>
      <c r="H87" s="100">
        <v>0.17499999999999999</v>
      </c>
    </row>
    <row r="88" spans="2:8" x14ac:dyDescent="0.25">
      <c r="B88" s="99">
        <v>0.85999999999999899</v>
      </c>
      <c r="C88" s="69">
        <v>86</v>
      </c>
      <c r="D88" s="69">
        <v>2150</v>
      </c>
      <c r="E88" s="69">
        <v>430</v>
      </c>
      <c r="F88" s="99">
        <v>0.86</v>
      </c>
      <c r="G88" s="99">
        <v>0.86</v>
      </c>
      <c r="H88" s="100">
        <v>0.17599999999999999</v>
      </c>
    </row>
    <row r="89" spans="2:8" x14ac:dyDescent="0.25">
      <c r="B89" s="99">
        <v>0.869999999999999</v>
      </c>
      <c r="C89" s="69">
        <v>87</v>
      </c>
      <c r="D89" s="69">
        <v>2175</v>
      </c>
      <c r="E89" s="69">
        <v>435</v>
      </c>
      <c r="F89" s="99">
        <v>0.87</v>
      </c>
      <c r="G89" s="99">
        <v>0.87</v>
      </c>
      <c r="H89" s="100">
        <v>0.17699999999999999</v>
      </c>
    </row>
    <row r="90" spans="2:8" x14ac:dyDescent="0.25">
      <c r="B90" s="99">
        <v>0.87999999999999901</v>
      </c>
      <c r="C90" s="69">
        <v>88</v>
      </c>
      <c r="D90" s="69">
        <v>2200</v>
      </c>
      <c r="E90" s="69">
        <v>440</v>
      </c>
      <c r="F90" s="99">
        <v>0.88</v>
      </c>
      <c r="G90" s="99">
        <v>0.88</v>
      </c>
      <c r="H90" s="100">
        <v>0.17899999999999999</v>
      </c>
    </row>
    <row r="91" spans="2:8" x14ac:dyDescent="0.25">
      <c r="B91" s="99">
        <v>0.88999999999999901</v>
      </c>
      <c r="C91" s="69">
        <v>89</v>
      </c>
      <c r="D91" s="69">
        <v>2225</v>
      </c>
      <c r="E91" s="69">
        <v>445</v>
      </c>
      <c r="F91" s="99">
        <v>0.89</v>
      </c>
      <c r="G91" s="99">
        <v>0.89</v>
      </c>
      <c r="H91" s="100">
        <v>0.18099999999999999</v>
      </c>
    </row>
    <row r="92" spans="2:8" x14ac:dyDescent="0.25">
      <c r="B92" s="99">
        <v>0.89999999999999902</v>
      </c>
      <c r="C92" s="69">
        <v>90</v>
      </c>
      <c r="D92" s="69">
        <v>2250</v>
      </c>
      <c r="E92" s="69">
        <v>450</v>
      </c>
      <c r="F92" s="99">
        <v>0.9</v>
      </c>
      <c r="G92" s="99">
        <v>0.9</v>
      </c>
      <c r="H92" s="100">
        <v>0.183</v>
      </c>
    </row>
    <row r="93" spans="2:8" x14ac:dyDescent="0.25">
      <c r="B93" s="99">
        <v>0.90999999999999903</v>
      </c>
      <c r="C93" s="69">
        <v>91</v>
      </c>
      <c r="D93" s="69">
        <v>2275</v>
      </c>
      <c r="E93" s="69">
        <v>455</v>
      </c>
      <c r="F93" s="99">
        <v>0.91</v>
      </c>
      <c r="G93" s="99">
        <v>0.91</v>
      </c>
      <c r="H93" s="100">
        <v>0.184</v>
      </c>
    </row>
    <row r="94" spans="2:8" x14ac:dyDescent="0.25">
      <c r="B94" s="99">
        <v>0.91999999999999904</v>
      </c>
      <c r="C94" s="69">
        <v>92</v>
      </c>
      <c r="D94" s="69">
        <v>2300</v>
      </c>
      <c r="E94" s="69">
        <v>460</v>
      </c>
      <c r="F94" s="99">
        <v>0.92</v>
      </c>
      <c r="G94" s="99">
        <v>0.92</v>
      </c>
      <c r="H94" s="100">
        <v>0.185</v>
      </c>
    </row>
    <row r="95" spans="2:8" x14ac:dyDescent="0.25">
      <c r="B95" s="99">
        <v>0.92999999999999905</v>
      </c>
      <c r="C95" s="69">
        <v>93</v>
      </c>
      <c r="D95" s="69">
        <v>2325</v>
      </c>
      <c r="E95" s="69">
        <v>465</v>
      </c>
      <c r="F95" s="99">
        <v>0.93</v>
      </c>
      <c r="G95" s="99">
        <v>0.93</v>
      </c>
      <c r="H95" s="100">
        <v>0.186</v>
      </c>
    </row>
    <row r="96" spans="2:8" x14ac:dyDescent="0.25">
      <c r="B96" s="99">
        <v>0.93999999999999895</v>
      </c>
      <c r="C96" s="69">
        <v>94</v>
      </c>
      <c r="D96" s="69">
        <v>2350</v>
      </c>
      <c r="E96" s="69">
        <v>470</v>
      </c>
      <c r="F96" s="99">
        <v>0.94</v>
      </c>
      <c r="G96" s="99">
        <v>0.94</v>
      </c>
      <c r="H96" s="100">
        <v>0.187</v>
      </c>
    </row>
    <row r="97" spans="2:8" x14ac:dyDescent="0.25">
      <c r="B97" s="99">
        <v>0.94999999999999796</v>
      </c>
      <c r="C97" s="69">
        <v>95</v>
      </c>
      <c r="D97" s="69">
        <v>2375</v>
      </c>
      <c r="E97" s="69">
        <v>475</v>
      </c>
      <c r="F97" s="99">
        <v>0.95</v>
      </c>
      <c r="G97" s="99">
        <v>0.95</v>
      </c>
      <c r="H97" s="100">
        <v>0.188</v>
      </c>
    </row>
    <row r="98" spans="2:8" x14ac:dyDescent="0.25">
      <c r="B98" s="99">
        <v>0.95999999999999797</v>
      </c>
      <c r="C98" s="69">
        <v>96</v>
      </c>
      <c r="D98" s="69">
        <v>2400</v>
      </c>
      <c r="E98" s="69">
        <v>480</v>
      </c>
      <c r="F98" s="99">
        <v>0.96</v>
      </c>
      <c r="G98" s="99">
        <v>0.96</v>
      </c>
      <c r="H98" s="100">
        <v>0.191</v>
      </c>
    </row>
    <row r="99" spans="2:8" x14ac:dyDescent="0.25">
      <c r="B99" s="99">
        <v>0.96999999999999797</v>
      </c>
      <c r="C99" s="69">
        <v>97</v>
      </c>
      <c r="D99" s="69">
        <v>2425</v>
      </c>
      <c r="E99" s="69">
        <v>485</v>
      </c>
      <c r="F99" s="99">
        <v>0.97</v>
      </c>
      <c r="G99" s="99">
        <v>0.97</v>
      </c>
      <c r="H99" s="100">
        <v>0.192</v>
      </c>
    </row>
    <row r="100" spans="2:8" x14ac:dyDescent="0.25">
      <c r="B100" s="99">
        <v>0.97999999999999798</v>
      </c>
      <c r="C100" s="69">
        <v>98</v>
      </c>
      <c r="D100" s="69">
        <v>2450</v>
      </c>
      <c r="E100" s="69">
        <v>490</v>
      </c>
      <c r="F100" s="99">
        <v>0.98</v>
      </c>
      <c r="G100" s="99">
        <v>0.98</v>
      </c>
      <c r="H100" s="100">
        <v>0.19400000000000001</v>
      </c>
    </row>
    <row r="101" spans="2:8" x14ac:dyDescent="0.25">
      <c r="B101" s="99">
        <v>0.98999999999999899</v>
      </c>
      <c r="C101" s="69">
        <v>99</v>
      </c>
      <c r="D101" s="69">
        <v>2475</v>
      </c>
      <c r="E101" s="69">
        <v>495</v>
      </c>
      <c r="F101" s="99">
        <v>0.99</v>
      </c>
      <c r="G101" s="99">
        <v>0.99</v>
      </c>
      <c r="H101" s="100">
        <v>0.19500000000000001</v>
      </c>
    </row>
    <row r="102" spans="2:8" x14ac:dyDescent="0.25">
      <c r="B102" s="99">
        <v>0.999999999999998</v>
      </c>
      <c r="C102" s="69">
        <v>100</v>
      </c>
      <c r="D102" s="69">
        <v>2500</v>
      </c>
      <c r="E102" s="69">
        <v>500</v>
      </c>
      <c r="F102" s="99">
        <v>1</v>
      </c>
      <c r="G102" s="99">
        <v>1</v>
      </c>
      <c r="H102" s="100">
        <v>0.19700000000000001</v>
      </c>
    </row>
    <row r="103" spans="2:8" x14ac:dyDescent="0.25">
      <c r="C103" s="101">
        <v>101</v>
      </c>
      <c r="D103" s="69">
        <v>2525</v>
      </c>
      <c r="E103" s="69">
        <v>505</v>
      </c>
      <c r="H103" s="100">
        <v>0.19900000000000001</v>
      </c>
    </row>
    <row r="104" spans="2:8" x14ac:dyDescent="0.25">
      <c r="C104" s="101">
        <v>102</v>
      </c>
      <c r="D104" s="69">
        <v>2550</v>
      </c>
      <c r="E104" s="69">
        <v>510</v>
      </c>
      <c r="H104" s="100">
        <v>0.20100000000000001</v>
      </c>
    </row>
    <row r="105" spans="2:8" x14ac:dyDescent="0.25">
      <c r="C105" s="101">
        <v>103</v>
      </c>
      <c r="D105" s="69">
        <v>2575</v>
      </c>
      <c r="E105" s="69">
        <v>515</v>
      </c>
      <c r="H105" s="100">
        <v>0.20200000000000001</v>
      </c>
    </row>
    <row r="106" spans="2:8" x14ac:dyDescent="0.25">
      <c r="C106" s="101">
        <v>104</v>
      </c>
      <c r="D106" s="69">
        <v>2600</v>
      </c>
      <c r="E106" s="69">
        <v>520</v>
      </c>
      <c r="H106" s="100">
        <v>0.20300000000000001</v>
      </c>
    </row>
    <row r="107" spans="2:8" x14ac:dyDescent="0.25">
      <c r="C107" s="101">
        <v>105</v>
      </c>
      <c r="D107" s="69">
        <v>2625</v>
      </c>
      <c r="E107" s="69">
        <v>525</v>
      </c>
      <c r="H107" s="100">
        <v>0.20499999999999999</v>
      </c>
    </row>
    <row r="108" spans="2:8" x14ac:dyDescent="0.25">
      <c r="C108" s="101">
        <v>106</v>
      </c>
      <c r="D108" s="69">
        <v>2650</v>
      </c>
      <c r="E108" s="69">
        <v>530</v>
      </c>
      <c r="H108" s="100">
        <v>0.20799999999999999</v>
      </c>
    </row>
    <row r="109" spans="2:8" x14ac:dyDescent="0.25">
      <c r="C109" s="101">
        <v>107</v>
      </c>
      <c r="D109" s="69">
        <v>2675</v>
      </c>
      <c r="E109" s="69">
        <v>535</v>
      </c>
      <c r="H109" s="100">
        <v>0.21</v>
      </c>
    </row>
    <row r="110" spans="2:8" x14ac:dyDescent="0.25">
      <c r="C110" s="101">
        <v>108</v>
      </c>
      <c r="D110" s="69">
        <v>2700</v>
      </c>
      <c r="E110" s="69">
        <v>540</v>
      </c>
      <c r="H110" s="100">
        <v>0.21199999999999999</v>
      </c>
    </row>
    <row r="111" spans="2:8" x14ac:dyDescent="0.25">
      <c r="C111" s="101">
        <v>109</v>
      </c>
      <c r="D111" s="69">
        <v>2725</v>
      </c>
      <c r="E111" s="69">
        <v>545</v>
      </c>
      <c r="H111" s="100">
        <v>0.216</v>
      </c>
    </row>
    <row r="112" spans="2:8" x14ac:dyDescent="0.25">
      <c r="C112" s="101">
        <v>110</v>
      </c>
      <c r="D112" s="69">
        <v>2750</v>
      </c>
      <c r="E112" s="69">
        <v>550</v>
      </c>
      <c r="H112" s="100">
        <v>0.218</v>
      </c>
    </row>
    <row r="113" spans="3:8" x14ac:dyDescent="0.25">
      <c r="C113" s="101">
        <v>111</v>
      </c>
      <c r="D113" s="69">
        <v>2775</v>
      </c>
      <c r="E113" s="69">
        <v>555</v>
      </c>
      <c r="H113" s="100">
        <v>0.219</v>
      </c>
    </row>
    <row r="114" spans="3:8" x14ac:dyDescent="0.25">
      <c r="C114" s="101">
        <v>112</v>
      </c>
      <c r="D114" s="69">
        <v>2800</v>
      </c>
      <c r="E114" s="69">
        <v>560</v>
      </c>
      <c r="H114" s="100">
        <v>0.223</v>
      </c>
    </row>
    <row r="115" spans="3:8" x14ac:dyDescent="0.25">
      <c r="C115" s="101">
        <v>113</v>
      </c>
      <c r="D115" s="69">
        <v>2825</v>
      </c>
      <c r="E115" s="69">
        <v>565</v>
      </c>
      <c r="H115" s="100">
        <v>0.22500000000000001</v>
      </c>
    </row>
    <row r="116" spans="3:8" x14ac:dyDescent="0.25">
      <c r="C116" s="101">
        <v>114</v>
      </c>
      <c r="D116" s="69">
        <v>2850</v>
      </c>
      <c r="E116" s="69">
        <v>570</v>
      </c>
      <c r="H116" s="100">
        <v>0.22600000000000001</v>
      </c>
    </row>
    <row r="117" spans="3:8" x14ac:dyDescent="0.25">
      <c r="C117" s="101">
        <v>115</v>
      </c>
      <c r="D117" s="69">
        <v>2875</v>
      </c>
      <c r="E117" s="69">
        <v>575</v>
      </c>
      <c r="H117" s="100">
        <v>0.23</v>
      </c>
    </row>
    <row r="118" spans="3:8" x14ac:dyDescent="0.25">
      <c r="C118" s="101">
        <v>116</v>
      </c>
      <c r="D118" s="69">
        <v>2900</v>
      </c>
      <c r="E118" s="69">
        <v>580</v>
      </c>
      <c r="H118" s="100">
        <v>0.23100000000000001</v>
      </c>
    </row>
    <row r="119" spans="3:8" x14ac:dyDescent="0.25">
      <c r="C119" s="101">
        <v>117</v>
      </c>
      <c r="D119" s="69">
        <v>2925</v>
      </c>
      <c r="E119" s="69">
        <v>585</v>
      </c>
      <c r="H119" s="100">
        <v>0.23300000000000001</v>
      </c>
    </row>
    <row r="120" spans="3:8" x14ac:dyDescent="0.25">
      <c r="C120" s="101">
        <v>118</v>
      </c>
      <c r="D120" s="69">
        <v>2950</v>
      </c>
      <c r="E120" s="69">
        <v>590</v>
      </c>
      <c r="H120" s="100">
        <v>0.23599999999999999</v>
      </c>
    </row>
    <row r="121" spans="3:8" x14ac:dyDescent="0.25">
      <c r="C121" s="101">
        <v>119</v>
      </c>
      <c r="D121" s="69">
        <v>2975</v>
      </c>
      <c r="E121" s="69">
        <v>595</v>
      </c>
      <c r="H121" s="100">
        <v>0.23699999999999999</v>
      </c>
    </row>
    <row r="122" spans="3:8" x14ac:dyDescent="0.25">
      <c r="C122" s="101">
        <v>120</v>
      </c>
      <c r="D122" s="69">
        <v>3000</v>
      </c>
      <c r="E122" s="69">
        <v>600</v>
      </c>
      <c r="H122" s="100">
        <v>0.24</v>
      </c>
    </row>
    <row r="123" spans="3:8" x14ac:dyDescent="0.25">
      <c r="D123" s="69">
        <v>3025</v>
      </c>
      <c r="E123" s="69">
        <v>605</v>
      </c>
      <c r="H123" s="100">
        <v>0.24299999999999999</v>
      </c>
    </row>
    <row r="124" spans="3:8" x14ac:dyDescent="0.25">
      <c r="D124" s="69">
        <v>3050</v>
      </c>
      <c r="E124" s="69">
        <v>610</v>
      </c>
      <c r="H124" s="100">
        <v>0.24399999999999999</v>
      </c>
    </row>
    <row r="125" spans="3:8" x14ac:dyDescent="0.25">
      <c r="D125" s="69">
        <v>3075</v>
      </c>
      <c r="E125" s="69">
        <v>615</v>
      </c>
      <c r="H125" s="100">
        <v>0.25</v>
      </c>
    </row>
    <row r="126" spans="3:8" x14ac:dyDescent="0.25">
      <c r="D126" s="69">
        <v>3100</v>
      </c>
      <c r="E126" s="69">
        <v>620</v>
      </c>
      <c r="H126" s="100">
        <v>0.25700000000000001</v>
      </c>
    </row>
    <row r="127" spans="3:8" x14ac:dyDescent="0.25">
      <c r="D127" s="69">
        <v>3125</v>
      </c>
      <c r="E127" s="69">
        <v>625</v>
      </c>
      <c r="H127" s="100">
        <v>0.26300000000000001</v>
      </c>
    </row>
    <row r="128" spans="3:8" x14ac:dyDescent="0.25">
      <c r="D128" s="69">
        <v>3150</v>
      </c>
      <c r="E128" s="69">
        <v>630</v>
      </c>
      <c r="H128" s="100">
        <v>0.26400000000000001</v>
      </c>
    </row>
    <row r="129" spans="4:8" x14ac:dyDescent="0.25">
      <c r="D129" s="69">
        <v>3175</v>
      </c>
      <c r="E129" s="69">
        <v>635</v>
      </c>
      <c r="H129" s="100">
        <v>0.26900000000000002</v>
      </c>
    </row>
    <row r="130" spans="4:8" x14ac:dyDescent="0.25">
      <c r="D130" s="69">
        <v>3200</v>
      </c>
      <c r="E130" s="69">
        <v>640</v>
      </c>
      <c r="H130" s="100">
        <v>0.27100000000000002</v>
      </c>
    </row>
    <row r="131" spans="4:8" x14ac:dyDescent="0.25">
      <c r="D131" s="69">
        <v>3225</v>
      </c>
      <c r="E131" s="69">
        <v>645</v>
      </c>
      <c r="H131" s="100">
        <v>0.27500000000000002</v>
      </c>
    </row>
    <row r="132" spans="4:8" x14ac:dyDescent="0.25">
      <c r="D132" s="69">
        <v>3250</v>
      </c>
      <c r="E132" s="69">
        <v>650</v>
      </c>
      <c r="H132" s="100">
        <v>0.27700000000000002</v>
      </c>
    </row>
    <row r="133" spans="4:8" x14ac:dyDescent="0.25">
      <c r="D133" s="69">
        <v>3275</v>
      </c>
      <c r="E133" s="69">
        <v>655</v>
      </c>
      <c r="H133" s="100">
        <v>0.28199999999999997</v>
      </c>
    </row>
    <row r="134" spans="4:8" x14ac:dyDescent="0.25">
      <c r="D134" s="69">
        <v>3300</v>
      </c>
      <c r="E134" s="69">
        <v>660</v>
      </c>
      <c r="H134" s="100">
        <v>0.28399999999999997</v>
      </c>
    </row>
    <row r="135" spans="4:8" x14ac:dyDescent="0.25">
      <c r="D135" s="69">
        <v>3325</v>
      </c>
      <c r="E135" s="69">
        <v>665</v>
      </c>
      <c r="H135" s="100">
        <v>0.28899999999999998</v>
      </c>
    </row>
    <row r="136" spans="4:8" x14ac:dyDescent="0.25">
      <c r="D136" s="69">
        <v>3350</v>
      </c>
      <c r="E136" s="69">
        <v>670</v>
      </c>
      <c r="H136" s="100">
        <v>0.29099999999999998</v>
      </c>
    </row>
    <row r="137" spans="4:8" x14ac:dyDescent="0.25">
      <c r="D137" s="69">
        <v>3375</v>
      </c>
      <c r="E137" s="69">
        <v>675</v>
      </c>
      <c r="H137" s="100">
        <v>0.29499999999999998</v>
      </c>
    </row>
    <row r="138" spans="4:8" x14ac:dyDescent="0.25">
      <c r="D138" s="69">
        <v>3400</v>
      </c>
      <c r="E138" s="69">
        <v>680</v>
      </c>
      <c r="H138" s="100">
        <v>0.29799999999999999</v>
      </c>
    </row>
    <row r="139" spans="4:8" x14ac:dyDescent="0.25">
      <c r="D139" s="69">
        <v>3425</v>
      </c>
      <c r="E139" s="69">
        <v>685</v>
      </c>
      <c r="H139" s="100">
        <v>0.30199999999999999</v>
      </c>
    </row>
    <row r="140" spans="4:8" x14ac:dyDescent="0.25">
      <c r="D140" s="69">
        <v>3450</v>
      </c>
      <c r="E140" s="69">
        <v>690</v>
      </c>
      <c r="H140" s="100">
        <v>0.309</v>
      </c>
    </row>
    <row r="141" spans="4:8" x14ac:dyDescent="0.25">
      <c r="D141" s="69">
        <v>3475</v>
      </c>
      <c r="E141" s="69">
        <v>695</v>
      </c>
      <c r="H141" s="100">
        <v>0.315</v>
      </c>
    </row>
    <row r="142" spans="4:8" x14ac:dyDescent="0.25">
      <c r="D142" s="69">
        <v>3500</v>
      </c>
      <c r="E142" s="69">
        <v>700</v>
      </c>
      <c r="H142" s="100">
        <v>0.32200000000000001</v>
      </c>
    </row>
    <row r="143" spans="4:8" x14ac:dyDescent="0.25">
      <c r="D143" s="69">
        <v>3525</v>
      </c>
      <c r="E143" s="69">
        <v>705</v>
      </c>
      <c r="H143" s="100">
        <v>0.32900000000000001</v>
      </c>
    </row>
    <row r="144" spans="4:8" x14ac:dyDescent="0.25">
      <c r="D144" s="69">
        <v>3550</v>
      </c>
      <c r="E144" s="69">
        <v>710</v>
      </c>
      <c r="H144" s="100">
        <v>0.33600000000000002</v>
      </c>
    </row>
    <row r="145" spans="4:8" x14ac:dyDescent="0.25">
      <c r="D145" s="69">
        <v>3575</v>
      </c>
      <c r="E145" s="69">
        <v>715</v>
      </c>
      <c r="H145" s="100">
        <v>0.34300000000000003</v>
      </c>
    </row>
    <row r="146" spans="4:8" x14ac:dyDescent="0.25">
      <c r="D146" s="69">
        <v>3600</v>
      </c>
      <c r="E146" s="69">
        <v>720</v>
      </c>
      <c r="H146" s="100">
        <v>0.34699999999999998</v>
      </c>
    </row>
    <row r="147" spans="4:8" x14ac:dyDescent="0.25">
      <c r="D147" s="69">
        <v>3625</v>
      </c>
      <c r="E147" s="69">
        <v>725</v>
      </c>
      <c r="H147" s="100">
        <v>0.35</v>
      </c>
    </row>
    <row r="148" spans="4:8" x14ac:dyDescent="0.25">
      <c r="D148" s="69">
        <v>3650</v>
      </c>
      <c r="E148" s="69">
        <v>730</v>
      </c>
      <c r="H148" s="100">
        <v>0.35399999999999998</v>
      </c>
    </row>
    <row r="149" spans="4:8" x14ac:dyDescent="0.25">
      <c r="D149" s="69">
        <v>3675</v>
      </c>
      <c r="E149" s="69">
        <v>735</v>
      </c>
      <c r="H149" s="100">
        <v>0.36</v>
      </c>
    </row>
    <row r="150" spans="4:8" x14ac:dyDescent="0.25">
      <c r="D150" s="69">
        <v>3700</v>
      </c>
      <c r="E150" s="69">
        <v>740</v>
      </c>
      <c r="H150" s="100">
        <v>0.36699999999999999</v>
      </c>
    </row>
    <row r="151" spans="4:8" x14ac:dyDescent="0.25">
      <c r="D151" s="69">
        <v>3725</v>
      </c>
      <c r="E151" s="69">
        <v>745</v>
      </c>
      <c r="H151" s="100">
        <v>0.374</v>
      </c>
    </row>
    <row r="152" spans="4:8" x14ac:dyDescent="0.25">
      <c r="D152" s="69">
        <v>3750</v>
      </c>
      <c r="E152" s="69">
        <v>750</v>
      </c>
      <c r="H152" s="100">
        <v>0.38100000000000001</v>
      </c>
    </row>
    <row r="153" spans="4:8" x14ac:dyDescent="0.25">
      <c r="D153" s="69">
        <v>3775</v>
      </c>
      <c r="E153" s="69">
        <v>755</v>
      </c>
      <c r="H153" s="100">
        <v>0.38800000000000001</v>
      </c>
    </row>
    <row r="154" spans="4:8" x14ac:dyDescent="0.25">
      <c r="D154" s="69">
        <v>3800</v>
      </c>
      <c r="E154" s="69">
        <v>760</v>
      </c>
      <c r="H154" s="100">
        <v>0.39500000000000002</v>
      </c>
    </row>
    <row r="155" spans="4:8" x14ac:dyDescent="0.25">
      <c r="D155" s="69">
        <v>3825</v>
      </c>
      <c r="E155" s="69">
        <v>765</v>
      </c>
      <c r="H155" s="100">
        <v>0.40200000000000002</v>
      </c>
    </row>
    <row r="156" spans="4:8" x14ac:dyDescent="0.25">
      <c r="D156" s="69">
        <v>3850</v>
      </c>
      <c r="E156" s="69">
        <v>770</v>
      </c>
      <c r="H156" s="100">
        <v>0.40899999999999997</v>
      </c>
    </row>
    <row r="157" spans="4:8" x14ac:dyDescent="0.25">
      <c r="D157" s="69">
        <v>3875</v>
      </c>
      <c r="E157" s="69">
        <v>775</v>
      </c>
      <c r="H157" s="100">
        <v>0.41599999999999998</v>
      </c>
    </row>
    <row r="158" spans="4:8" x14ac:dyDescent="0.25">
      <c r="D158" s="69">
        <v>3900</v>
      </c>
      <c r="E158" s="69">
        <v>780</v>
      </c>
      <c r="H158" s="100">
        <v>0.42399999999999999</v>
      </c>
    </row>
    <row r="159" spans="4:8" x14ac:dyDescent="0.25">
      <c r="D159" s="69">
        <v>3925</v>
      </c>
      <c r="E159" s="69">
        <v>785</v>
      </c>
      <c r="H159" s="100">
        <v>0.43099999999999999</v>
      </c>
    </row>
    <row r="160" spans="4:8" x14ac:dyDescent="0.25">
      <c r="D160" s="69">
        <v>3950</v>
      </c>
      <c r="E160" s="69">
        <v>790</v>
      </c>
      <c r="H160" s="100">
        <v>0.438</v>
      </c>
    </row>
    <row r="161" spans="4:8" x14ac:dyDescent="0.25">
      <c r="D161" s="69">
        <v>3975</v>
      </c>
      <c r="E161" s="69">
        <v>795</v>
      </c>
      <c r="H161" s="100">
        <v>0.51500000000000001</v>
      </c>
    </row>
    <row r="162" spans="4:8" x14ac:dyDescent="0.25">
      <c r="D162" s="69">
        <v>4000</v>
      </c>
      <c r="E162" s="69">
        <v>800</v>
      </c>
      <c r="H162" s="100">
        <v>0.52300000000000002</v>
      </c>
    </row>
    <row r="163" spans="4:8" x14ac:dyDescent="0.25">
      <c r="D163" s="69">
        <v>4025</v>
      </c>
      <c r="E163" s="69">
        <v>805</v>
      </c>
      <c r="H163" s="100">
        <v>0.53</v>
      </c>
    </row>
    <row r="164" spans="4:8" x14ac:dyDescent="0.25">
      <c r="D164" s="69">
        <v>4050</v>
      </c>
      <c r="E164" s="69">
        <v>810</v>
      </c>
      <c r="H164" s="100">
        <v>0.53800000000000003</v>
      </c>
    </row>
    <row r="165" spans="4:8" x14ac:dyDescent="0.25">
      <c r="D165" s="69">
        <v>4075</v>
      </c>
      <c r="E165" s="69">
        <v>815</v>
      </c>
      <c r="H165" s="100">
        <v>0.54500000000000004</v>
      </c>
    </row>
    <row r="166" spans="4:8" x14ac:dyDescent="0.25">
      <c r="D166" s="69">
        <v>4100</v>
      </c>
      <c r="E166" s="69">
        <v>820</v>
      </c>
      <c r="H166" s="100">
        <v>0.55300000000000005</v>
      </c>
    </row>
    <row r="167" spans="4:8" x14ac:dyDescent="0.25">
      <c r="D167" s="69">
        <v>4125</v>
      </c>
      <c r="E167" s="69">
        <v>825</v>
      </c>
      <c r="H167" s="100">
        <v>0.56100000000000005</v>
      </c>
    </row>
    <row r="168" spans="4:8" x14ac:dyDescent="0.25">
      <c r="D168" s="69">
        <v>4150</v>
      </c>
      <c r="E168" s="69">
        <v>830</v>
      </c>
      <c r="H168" s="100">
        <v>0.56799999999999995</v>
      </c>
    </row>
    <row r="169" spans="4:8" x14ac:dyDescent="0.25">
      <c r="D169" s="69">
        <v>4175</v>
      </c>
      <c r="E169" s="69">
        <v>835</v>
      </c>
      <c r="H169" s="100">
        <v>0.57599999999999996</v>
      </c>
    </row>
    <row r="170" spans="4:8" x14ac:dyDescent="0.25">
      <c r="D170" s="69">
        <v>4200</v>
      </c>
      <c r="E170" s="69">
        <v>840</v>
      </c>
      <c r="H170" s="100">
        <v>0.58399999999999996</v>
      </c>
    </row>
    <row r="171" spans="4:8" x14ac:dyDescent="0.25">
      <c r="D171" s="69">
        <v>4225</v>
      </c>
      <c r="E171" s="69">
        <v>845</v>
      </c>
      <c r="H171" s="100">
        <v>0.59199999999999997</v>
      </c>
    </row>
    <row r="172" spans="4:8" x14ac:dyDescent="0.25">
      <c r="D172" s="69">
        <v>4250</v>
      </c>
      <c r="E172" s="69">
        <v>850</v>
      </c>
      <c r="H172" s="100">
        <v>0.59899999999999998</v>
      </c>
    </row>
    <row r="173" spans="4:8" x14ac:dyDescent="0.25">
      <c r="D173" s="69">
        <v>4275</v>
      </c>
      <c r="E173" s="69">
        <v>855</v>
      </c>
      <c r="H173" s="100">
        <v>0.60699999999999998</v>
      </c>
    </row>
    <row r="174" spans="4:8" x14ac:dyDescent="0.25">
      <c r="D174" s="69">
        <v>4300</v>
      </c>
      <c r="E174" s="69">
        <v>860</v>
      </c>
      <c r="H174" s="100">
        <v>0.61499999999999999</v>
      </c>
    </row>
    <row r="175" spans="4:8" x14ac:dyDescent="0.25">
      <c r="D175" s="69">
        <v>4325</v>
      </c>
      <c r="E175" s="69">
        <v>865</v>
      </c>
      <c r="H175" s="100">
        <v>1.02</v>
      </c>
    </row>
    <row r="176" spans="4:8" x14ac:dyDescent="0.25">
      <c r="D176" s="69">
        <v>4350</v>
      </c>
      <c r="E176" s="69">
        <v>870</v>
      </c>
      <c r="H176" s="100">
        <v>1.03</v>
      </c>
    </row>
    <row r="177" spans="4:8" x14ac:dyDescent="0.25">
      <c r="D177" s="69">
        <v>4375</v>
      </c>
      <c r="E177" s="69">
        <v>875</v>
      </c>
      <c r="H177" s="100">
        <v>1.04</v>
      </c>
    </row>
    <row r="178" spans="4:8" x14ac:dyDescent="0.25">
      <c r="D178" s="69">
        <v>4400</v>
      </c>
      <c r="E178" s="69">
        <v>880</v>
      </c>
      <c r="H178" s="100">
        <v>1.05</v>
      </c>
    </row>
    <row r="179" spans="4:8" x14ac:dyDescent="0.25">
      <c r="D179" s="69">
        <v>4425</v>
      </c>
      <c r="E179" s="69">
        <v>885</v>
      </c>
      <c r="H179" s="100">
        <v>1.06</v>
      </c>
    </row>
    <row r="180" spans="4:8" x14ac:dyDescent="0.25">
      <c r="D180" s="69">
        <v>4450</v>
      </c>
      <c r="E180" s="69">
        <v>890</v>
      </c>
      <c r="H180" s="100">
        <v>1.07</v>
      </c>
    </row>
    <row r="181" spans="4:8" x14ac:dyDescent="0.25">
      <c r="D181" s="69">
        <v>4475</v>
      </c>
      <c r="E181" s="69">
        <v>895</v>
      </c>
      <c r="H181" s="100">
        <v>1.08</v>
      </c>
    </row>
    <row r="182" spans="4:8" x14ac:dyDescent="0.25">
      <c r="D182" s="69">
        <v>4500</v>
      </c>
      <c r="E182" s="69">
        <v>900</v>
      </c>
      <c r="H182" s="100">
        <v>1.0900000000000001</v>
      </c>
    </row>
    <row r="183" spans="4:8" x14ac:dyDescent="0.25">
      <c r="D183" s="69">
        <v>4525</v>
      </c>
      <c r="E183" s="69">
        <v>905</v>
      </c>
      <c r="H183" s="100">
        <v>1.1000000000000001</v>
      </c>
    </row>
    <row r="184" spans="4:8" x14ac:dyDescent="0.25">
      <c r="D184" s="69">
        <v>4550</v>
      </c>
      <c r="E184" s="69">
        <v>910</v>
      </c>
      <c r="H184" s="100">
        <v>1.1100000000000001</v>
      </c>
    </row>
    <row r="185" spans="4:8" x14ac:dyDescent="0.25">
      <c r="D185" s="69">
        <v>4575</v>
      </c>
      <c r="E185" s="69">
        <v>915</v>
      </c>
      <c r="H185" s="100">
        <v>1.1200000000000001</v>
      </c>
    </row>
    <row r="186" spans="4:8" x14ac:dyDescent="0.25">
      <c r="D186" s="69">
        <v>4600</v>
      </c>
      <c r="E186" s="69">
        <v>920</v>
      </c>
      <c r="H186" s="100">
        <v>1.1299999999999999</v>
      </c>
    </row>
    <row r="187" spans="4:8" x14ac:dyDescent="0.25">
      <c r="D187" s="69">
        <v>4625</v>
      </c>
      <c r="E187" s="69">
        <v>925</v>
      </c>
      <c r="H187" s="100">
        <v>1.1399999999999999</v>
      </c>
    </row>
    <row r="188" spans="4:8" x14ac:dyDescent="0.25">
      <c r="D188" s="69">
        <v>4650</v>
      </c>
      <c r="E188" s="69">
        <v>930</v>
      </c>
      <c r="H188" s="100">
        <v>1.1499999999999999</v>
      </c>
    </row>
    <row r="189" spans="4:8" x14ac:dyDescent="0.25">
      <c r="D189" s="69">
        <v>4675</v>
      </c>
      <c r="E189" s="69">
        <v>935</v>
      </c>
    </row>
    <row r="190" spans="4:8" x14ac:dyDescent="0.25">
      <c r="D190" s="69">
        <v>4700</v>
      </c>
      <c r="E190" s="69">
        <v>940</v>
      </c>
    </row>
    <row r="191" spans="4:8" x14ac:dyDescent="0.25">
      <c r="D191" s="69">
        <v>4725</v>
      </c>
      <c r="E191" s="69">
        <v>945</v>
      </c>
    </row>
    <row r="192" spans="4:8" x14ac:dyDescent="0.25">
      <c r="D192" s="69">
        <v>4750</v>
      </c>
      <c r="E192" s="69">
        <v>950</v>
      </c>
    </row>
    <row r="193" spans="4:5" x14ac:dyDescent="0.25">
      <c r="D193" s="69">
        <v>4775</v>
      </c>
      <c r="E193" s="69">
        <v>955</v>
      </c>
    </row>
    <row r="194" spans="4:5" x14ac:dyDescent="0.25">
      <c r="D194" s="69">
        <v>4800</v>
      </c>
      <c r="E194" s="69">
        <v>960</v>
      </c>
    </row>
    <row r="195" spans="4:5" x14ac:dyDescent="0.25">
      <c r="D195" s="69">
        <v>4825</v>
      </c>
      <c r="E195" s="69">
        <v>965</v>
      </c>
    </row>
    <row r="196" spans="4:5" x14ac:dyDescent="0.25">
      <c r="D196" s="69">
        <v>4850</v>
      </c>
      <c r="E196" s="69">
        <v>970</v>
      </c>
    </row>
    <row r="197" spans="4:5" x14ac:dyDescent="0.25">
      <c r="D197" s="69">
        <v>4875</v>
      </c>
      <c r="E197" s="69">
        <v>975</v>
      </c>
    </row>
    <row r="198" spans="4:5" x14ac:dyDescent="0.25">
      <c r="D198" s="69">
        <v>4900</v>
      </c>
      <c r="E198" s="69">
        <v>980</v>
      </c>
    </row>
    <row r="199" spans="4:5" x14ac:dyDescent="0.25">
      <c r="D199" s="69">
        <v>4925</v>
      </c>
      <c r="E199" s="69">
        <v>985</v>
      </c>
    </row>
    <row r="200" spans="4:5" x14ac:dyDescent="0.25">
      <c r="D200" s="69">
        <v>4950</v>
      </c>
      <c r="E200" s="69">
        <v>990</v>
      </c>
    </row>
    <row r="201" spans="4:5" x14ac:dyDescent="0.25">
      <c r="D201" s="69">
        <v>4975</v>
      </c>
      <c r="E201" s="69">
        <v>995</v>
      </c>
    </row>
    <row r="202" spans="4:5" x14ac:dyDescent="0.25">
      <c r="D202" s="69">
        <v>5000</v>
      </c>
      <c r="E202" s="69">
        <v>1000</v>
      </c>
    </row>
    <row r="203" spans="4:5" x14ac:dyDescent="0.25">
      <c r="D203" s="69">
        <v>5025</v>
      </c>
    </row>
    <row r="204" spans="4:5" x14ac:dyDescent="0.25">
      <c r="D204" s="69">
        <v>5050</v>
      </c>
    </row>
    <row r="205" spans="4:5" x14ac:dyDescent="0.25">
      <c r="D205" s="69">
        <v>5075</v>
      </c>
    </row>
    <row r="206" spans="4:5" x14ac:dyDescent="0.25">
      <c r="D206" s="69">
        <v>5100</v>
      </c>
    </row>
    <row r="207" spans="4:5" x14ac:dyDescent="0.25">
      <c r="D207" s="69">
        <v>5125</v>
      </c>
    </row>
    <row r="208" spans="4:5" x14ac:dyDescent="0.25">
      <c r="D208" s="69">
        <v>5150</v>
      </c>
    </row>
    <row r="209" spans="4:4" x14ac:dyDescent="0.25">
      <c r="D209" s="69">
        <v>5175</v>
      </c>
    </row>
    <row r="210" spans="4:4" x14ac:dyDescent="0.25">
      <c r="D210" s="69">
        <v>5200</v>
      </c>
    </row>
    <row r="211" spans="4:4" x14ac:dyDescent="0.25">
      <c r="D211" s="69">
        <v>5225</v>
      </c>
    </row>
    <row r="212" spans="4:4" x14ac:dyDescent="0.25">
      <c r="D212" s="69">
        <v>5250</v>
      </c>
    </row>
    <row r="213" spans="4:4" x14ac:dyDescent="0.25">
      <c r="D213" s="69">
        <v>5275</v>
      </c>
    </row>
    <row r="214" spans="4:4" x14ac:dyDescent="0.25">
      <c r="D214" s="69">
        <v>5300</v>
      </c>
    </row>
    <row r="215" spans="4:4" x14ac:dyDescent="0.25">
      <c r="D215" s="69">
        <v>5325</v>
      </c>
    </row>
    <row r="216" spans="4:4" x14ac:dyDescent="0.25">
      <c r="D216" s="69">
        <v>5350</v>
      </c>
    </row>
    <row r="217" spans="4:4" x14ac:dyDescent="0.25">
      <c r="D217" s="69">
        <v>5375</v>
      </c>
    </row>
    <row r="218" spans="4:4" x14ac:dyDescent="0.25">
      <c r="D218" s="69">
        <v>5400</v>
      </c>
    </row>
    <row r="219" spans="4:4" x14ac:dyDescent="0.25">
      <c r="D219" s="69">
        <v>5425</v>
      </c>
    </row>
    <row r="220" spans="4:4" x14ac:dyDescent="0.25">
      <c r="D220" s="69">
        <v>5450</v>
      </c>
    </row>
    <row r="221" spans="4:4" x14ac:dyDescent="0.25">
      <c r="D221" s="69">
        <v>5475</v>
      </c>
    </row>
    <row r="222" spans="4:4" x14ac:dyDescent="0.25">
      <c r="D222" s="69">
        <v>5500</v>
      </c>
    </row>
    <row r="223" spans="4:4" x14ac:dyDescent="0.25">
      <c r="D223" s="69">
        <v>5525</v>
      </c>
    </row>
    <row r="224" spans="4:4" x14ac:dyDescent="0.25">
      <c r="D224" s="69">
        <v>5550</v>
      </c>
    </row>
    <row r="225" spans="4:4" x14ac:dyDescent="0.25">
      <c r="D225" s="69">
        <v>5575</v>
      </c>
    </row>
    <row r="226" spans="4:4" x14ac:dyDescent="0.25">
      <c r="D226" s="69">
        <v>5600</v>
      </c>
    </row>
    <row r="227" spans="4:4" x14ac:dyDescent="0.25">
      <c r="D227" s="69">
        <v>5625</v>
      </c>
    </row>
    <row r="228" spans="4:4" x14ac:dyDescent="0.25">
      <c r="D228" s="69">
        <v>5650</v>
      </c>
    </row>
    <row r="229" spans="4:4" x14ac:dyDescent="0.25">
      <c r="D229" s="69">
        <v>5675</v>
      </c>
    </row>
    <row r="230" spans="4:4" x14ac:dyDescent="0.25">
      <c r="D230" s="69">
        <v>5700</v>
      </c>
    </row>
    <row r="231" spans="4:4" x14ac:dyDescent="0.25">
      <c r="D231" s="69">
        <v>5725</v>
      </c>
    </row>
    <row r="232" spans="4:4" x14ac:dyDescent="0.25">
      <c r="D232" s="69">
        <v>5750</v>
      </c>
    </row>
    <row r="233" spans="4:4" x14ac:dyDescent="0.25">
      <c r="D233" s="69">
        <v>5775</v>
      </c>
    </row>
    <row r="234" spans="4:4" x14ac:dyDescent="0.25">
      <c r="D234" s="69">
        <v>5800</v>
      </c>
    </row>
    <row r="235" spans="4:4" x14ac:dyDescent="0.25">
      <c r="D235" s="69">
        <v>5825</v>
      </c>
    </row>
    <row r="236" spans="4:4" x14ac:dyDescent="0.25">
      <c r="D236" s="69">
        <v>5850</v>
      </c>
    </row>
    <row r="237" spans="4:4" x14ac:dyDescent="0.25">
      <c r="D237" s="69">
        <v>5875</v>
      </c>
    </row>
    <row r="238" spans="4:4" x14ac:dyDescent="0.25">
      <c r="D238" s="69">
        <v>5900</v>
      </c>
    </row>
    <row r="239" spans="4:4" x14ac:dyDescent="0.25">
      <c r="D239" s="69">
        <v>5925</v>
      </c>
    </row>
    <row r="240" spans="4:4" x14ac:dyDescent="0.25">
      <c r="D240" s="69">
        <v>5950</v>
      </c>
    </row>
    <row r="241" spans="4:4" x14ac:dyDescent="0.25">
      <c r="D241" s="69">
        <v>5975</v>
      </c>
    </row>
    <row r="242" spans="4:4" x14ac:dyDescent="0.25">
      <c r="D242" s="69">
        <v>6000</v>
      </c>
    </row>
    <row r="243" spans="4:4" x14ac:dyDescent="0.25">
      <c r="D243" s="69">
        <v>6025</v>
      </c>
    </row>
    <row r="244" spans="4:4" x14ac:dyDescent="0.25">
      <c r="D244" s="69">
        <v>6050</v>
      </c>
    </row>
    <row r="245" spans="4:4" x14ac:dyDescent="0.25">
      <c r="D245" s="69">
        <v>6075</v>
      </c>
    </row>
    <row r="246" spans="4:4" x14ac:dyDescent="0.25">
      <c r="D246" s="69">
        <v>6100</v>
      </c>
    </row>
    <row r="247" spans="4:4" x14ac:dyDescent="0.25">
      <c r="D247" s="69">
        <v>6125</v>
      </c>
    </row>
    <row r="248" spans="4:4" x14ac:dyDescent="0.25">
      <c r="D248" s="69">
        <v>6150</v>
      </c>
    </row>
    <row r="249" spans="4:4" x14ac:dyDescent="0.25">
      <c r="D249" s="69">
        <v>6175</v>
      </c>
    </row>
    <row r="250" spans="4:4" x14ac:dyDescent="0.25">
      <c r="D250" s="69">
        <v>6200</v>
      </c>
    </row>
    <row r="251" spans="4:4" x14ac:dyDescent="0.25">
      <c r="D251" s="69">
        <v>6225</v>
      </c>
    </row>
    <row r="252" spans="4:4" x14ac:dyDescent="0.25">
      <c r="D252" s="69">
        <v>6250</v>
      </c>
    </row>
    <row r="253" spans="4:4" x14ac:dyDescent="0.25">
      <c r="D253" s="69">
        <v>6275</v>
      </c>
    </row>
    <row r="254" spans="4:4" x14ac:dyDescent="0.25">
      <c r="D254" s="69">
        <v>6300</v>
      </c>
    </row>
    <row r="255" spans="4:4" x14ac:dyDescent="0.25">
      <c r="D255" s="69">
        <v>6325</v>
      </c>
    </row>
    <row r="256" spans="4:4" x14ac:dyDescent="0.25">
      <c r="D256" s="69">
        <v>6350</v>
      </c>
    </row>
    <row r="257" spans="4:4" x14ac:dyDescent="0.25">
      <c r="D257" s="69">
        <v>6375</v>
      </c>
    </row>
    <row r="258" spans="4:4" x14ac:dyDescent="0.25">
      <c r="D258" s="69">
        <v>6400</v>
      </c>
    </row>
    <row r="259" spans="4:4" x14ac:dyDescent="0.25">
      <c r="D259" s="69">
        <v>6425</v>
      </c>
    </row>
    <row r="260" spans="4:4" x14ac:dyDescent="0.25">
      <c r="D260" s="69">
        <v>6450</v>
      </c>
    </row>
    <row r="261" spans="4:4" x14ac:dyDescent="0.25">
      <c r="D261" s="69">
        <v>6475</v>
      </c>
    </row>
    <row r="262" spans="4:4" x14ac:dyDescent="0.25">
      <c r="D262" s="69">
        <v>6500</v>
      </c>
    </row>
    <row r="263" spans="4:4" x14ac:dyDescent="0.25">
      <c r="D263" s="69">
        <v>6525</v>
      </c>
    </row>
    <row r="264" spans="4:4" x14ac:dyDescent="0.25">
      <c r="D264" s="69">
        <v>6550</v>
      </c>
    </row>
    <row r="265" spans="4:4" x14ac:dyDescent="0.25">
      <c r="D265" s="69">
        <v>6575</v>
      </c>
    </row>
    <row r="266" spans="4:4" x14ac:dyDescent="0.25">
      <c r="D266" s="69">
        <v>6600</v>
      </c>
    </row>
    <row r="267" spans="4:4" x14ac:dyDescent="0.25">
      <c r="D267" s="69">
        <v>6625</v>
      </c>
    </row>
    <row r="268" spans="4:4" x14ac:dyDescent="0.25">
      <c r="D268" s="69">
        <v>6650</v>
      </c>
    </row>
    <row r="269" spans="4:4" x14ac:dyDescent="0.25">
      <c r="D269" s="69">
        <v>6675</v>
      </c>
    </row>
    <row r="270" spans="4:4" x14ac:dyDescent="0.25">
      <c r="D270" s="69">
        <v>6700</v>
      </c>
    </row>
    <row r="271" spans="4:4" x14ac:dyDescent="0.25">
      <c r="D271" s="69">
        <v>6725</v>
      </c>
    </row>
    <row r="272" spans="4:4" x14ac:dyDescent="0.25">
      <c r="D272" s="69">
        <v>6750</v>
      </c>
    </row>
    <row r="273" spans="4:4" x14ac:dyDescent="0.25">
      <c r="D273" s="69">
        <v>6775</v>
      </c>
    </row>
    <row r="274" spans="4:4" x14ac:dyDescent="0.25">
      <c r="D274" s="69">
        <v>6800</v>
      </c>
    </row>
    <row r="275" spans="4:4" x14ac:dyDescent="0.25">
      <c r="D275" s="69">
        <v>6825</v>
      </c>
    </row>
    <row r="276" spans="4:4" x14ac:dyDescent="0.25">
      <c r="D276" s="69">
        <v>6850</v>
      </c>
    </row>
    <row r="277" spans="4:4" x14ac:dyDescent="0.25">
      <c r="D277" s="69">
        <v>6875</v>
      </c>
    </row>
    <row r="278" spans="4:4" x14ac:dyDescent="0.25">
      <c r="D278" s="69">
        <v>6900</v>
      </c>
    </row>
    <row r="279" spans="4:4" x14ac:dyDescent="0.25">
      <c r="D279" s="69">
        <v>6925</v>
      </c>
    </row>
    <row r="280" spans="4:4" x14ac:dyDescent="0.25">
      <c r="D280" s="69">
        <v>6950</v>
      </c>
    </row>
    <row r="281" spans="4:4" x14ac:dyDescent="0.25">
      <c r="D281" s="69">
        <v>6975</v>
      </c>
    </row>
    <row r="282" spans="4:4" x14ac:dyDescent="0.25">
      <c r="D282" s="69">
        <v>7000</v>
      </c>
    </row>
    <row r="283" spans="4:4" x14ac:dyDescent="0.25">
      <c r="D283" s="69">
        <v>7025</v>
      </c>
    </row>
    <row r="284" spans="4:4" x14ac:dyDescent="0.25">
      <c r="D284" s="69">
        <v>7050</v>
      </c>
    </row>
    <row r="285" spans="4:4" x14ac:dyDescent="0.25">
      <c r="D285" s="69">
        <v>7075</v>
      </c>
    </row>
    <row r="286" spans="4:4" x14ac:dyDescent="0.25">
      <c r="D286" s="69">
        <v>7100</v>
      </c>
    </row>
    <row r="287" spans="4:4" x14ac:dyDescent="0.25">
      <c r="D287" s="69">
        <v>7125</v>
      </c>
    </row>
    <row r="288" spans="4:4" x14ac:dyDescent="0.25">
      <c r="D288" s="69">
        <v>7150</v>
      </c>
    </row>
    <row r="289" spans="4:4" x14ac:dyDescent="0.25">
      <c r="D289" s="69">
        <v>7175</v>
      </c>
    </row>
    <row r="290" spans="4:4" x14ac:dyDescent="0.25">
      <c r="D290" s="69">
        <v>7200</v>
      </c>
    </row>
    <row r="291" spans="4:4" x14ac:dyDescent="0.25">
      <c r="D291" s="69">
        <v>7225</v>
      </c>
    </row>
    <row r="292" spans="4:4" x14ac:dyDescent="0.25">
      <c r="D292" s="69">
        <v>7250</v>
      </c>
    </row>
    <row r="293" spans="4:4" x14ac:dyDescent="0.25">
      <c r="D293" s="69">
        <v>7275</v>
      </c>
    </row>
    <row r="294" spans="4:4" x14ac:dyDescent="0.25">
      <c r="D294" s="69">
        <v>7300</v>
      </c>
    </row>
    <row r="295" spans="4:4" x14ac:dyDescent="0.25">
      <c r="D295" s="69">
        <v>7325</v>
      </c>
    </row>
    <row r="296" spans="4:4" x14ac:dyDescent="0.25">
      <c r="D296" s="69">
        <v>7350</v>
      </c>
    </row>
    <row r="297" spans="4:4" x14ac:dyDescent="0.25">
      <c r="D297" s="69">
        <v>7375</v>
      </c>
    </row>
    <row r="298" spans="4:4" x14ac:dyDescent="0.25">
      <c r="D298" s="69">
        <v>7400</v>
      </c>
    </row>
    <row r="299" spans="4:4" x14ac:dyDescent="0.25">
      <c r="D299" s="69">
        <v>7425</v>
      </c>
    </row>
    <row r="300" spans="4:4" x14ac:dyDescent="0.25">
      <c r="D300" s="69">
        <v>7450</v>
      </c>
    </row>
    <row r="301" spans="4:4" x14ac:dyDescent="0.25">
      <c r="D301" s="69">
        <v>7475</v>
      </c>
    </row>
    <row r="302" spans="4:4" x14ac:dyDescent="0.25">
      <c r="D302" s="69">
        <v>7500</v>
      </c>
    </row>
    <row r="303" spans="4:4" x14ac:dyDescent="0.25">
      <c r="D303" s="69">
        <v>7525</v>
      </c>
    </row>
    <row r="304" spans="4:4" x14ac:dyDescent="0.25">
      <c r="D304" s="69">
        <v>7550</v>
      </c>
    </row>
    <row r="305" spans="4:4" x14ac:dyDescent="0.25">
      <c r="D305" s="69">
        <v>7575</v>
      </c>
    </row>
    <row r="306" spans="4:4" x14ac:dyDescent="0.25">
      <c r="D306" s="69">
        <v>7600</v>
      </c>
    </row>
    <row r="307" spans="4:4" x14ac:dyDescent="0.25">
      <c r="D307" s="69">
        <v>7625</v>
      </c>
    </row>
    <row r="308" spans="4:4" x14ac:dyDescent="0.25">
      <c r="D308" s="69">
        <v>7650</v>
      </c>
    </row>
    <row r="309" spans="4:4" x14ac:dyDescent="0.25">
      <c r="D309" s="69">
        <v>7675</v>
      </c>
    </row>
    <row r="310" spans="4:4" x14ac:dyDescent="0.25">
      <c r="D310" s="69">
        <v>7700</v>
      </c>
    </row>
    <row r="311" spans="4:4" x14ac:dyDescent="0.25">
      <c r="D311" s="69">
        <v>7725</v>
      </c>
    </row>
    <row r="312" spans="4:4" x14ac:dyDescent="0.25">
      <c r="D312" s="69">
        <v>7750</v>
      </c>
    </row>
    <row r="313" spans="4:4" x14ac:dyDescent="0.25">
      <c r="D313" s="69">
        <v>7775</v>
      </c>
    </row>
    <row r="314" spans="4:4" x14ac:dyDescent="0.25">
      <c r="D314" s="69">
        <v>7800</v>
      </c>
    </row>
    <row r="315" spans="4:4" x14ac:dyDescent="0.25">
      <c r="D315" s="69">
        <v>7825</v>
      </c>
    </row>
    <row r="316" spans="4:4" x14ac:dyDescent="0.25">
      <c r="D316" s="69">
        <v>7850</v>
      </c>
    </row>
    <row r="317" spans="4:4" x14ac:dyDescent="0.25">
      <c r="D317" s="69">
        <v>7875</v>
      </c>
    </row>
    <row r="318" spans="4:4" x14ac:dyDescent="0.25">
      <c r="D318" s="69">
        <v>7900</v>
      </c>
    </row>
    <row r="319" spans="4:4" x14ac:dyDescent="0.25">
      <c r="D319" s="69">
        <v>7925</v>
      </c>
    </row>
    <row r="320" spans="4:4" x14ac:dyDescent="0.25">
      <c r="D320" s="69">
        <v>7950</v>
      </c>
    </row>
    <row r="321" spans="4:4" x14ac:dyDescent="0.25">
      <c r="D321" s="69">
        <v>7975</v>
      </c>
    </row>
    <row r="322" spans="4:4" x14ac:dyDescent="0.25">
      <c r="D322" s="69">
        <v>8000</v>
      </c>
    </row>
    <row r="323" spans="4:4" x14ac:dyDescent="0.25">
      <c r="D323" s="69">
        <v>8025</v>
      </c>
    </row>
    <row r="324" spans="4:4" x14ac:dyDescent="0.25">
      <c r="D324" s="69">
        <v>8050</v>
      </c>
    </row>
    <row r="325" spans="4:4" x14ac:dyDescent="0.25">
      <c r="D325" s="69">
        <v>8075</v>
      </c>
    </row>
    <row r="326" spans="4:4" x14ac:dyDescent="0.25">
      <c r="D326" s="69">
        <v>8100</v>
      </c>
    </row>
    <row r="327" spans="4:4" x14ac:dyDescent="0.25">
      <c r="D327" s="69">
        <v>8125</v>
      </c>
    </row>
    <row r="328" spans="4:4" x14ac:dyDescent="0.25">
      <c r="D328" s="69">
        <v>8150</v>
      </c>
    </row>
    <row r="329" spans="4:4" x14ac:dyDescent="0.25">
      <c r="D329" s="69">
        <v>8175</v>
      </c>
    </row>
    <row r="330" spans="4:4" x14ac:dyDescent="0.25">
      <c r="D330" s="69">
        <v>8200</v>
      </c>
    </row>
    <row r="331" spans="4:4" x14ac:dyDescent="0.25">
      <c r="D331" s="69">
        <v>8225</v>
      </c>
    </row>
    <row r="332" spans="4:4" x14ac:dyDescent="0.25">
      <c r="D332" s="69">
        <v>8250</v>
      </c>
    </row>
    <row r="333" spans="4:4" x14ac:dyDescent="0.25">
      <c r="D333" s="69">
        <v>8275</v>
      </c>
    </row>
    <row r="334" spans="4:4" x14ac:dyDescent="0.25">
      <c r="D334" s="69">
        <v>8300</v>
      </c>
    </row>
    <row r="335" spans="4:4" x14ac:dyDescent="0.25">
      <c r="D335" s="69">
        <v>8325</v>
      </c>
    </row>
    <row r="336" spans="4:4" x14ac:dyDescent="0.25">
      <c r="D336" s="69">
        <v>8350</v>
      </c>
    </row>
    <row r="337" spans="4:4" x14ac:dyDescent="0.25">
      <c r="D337" s="69">
        <v>8375</v>
      </c>
    </row>
    <row r="338" spans="4:4" x14ac:dyDescent="0.25">
      <c r="D338" s="69">
        <v>8400</v>
      </c>
    </row>
    <row r="339" spans="4:4" x14ac:dyDescent="0.25">
      <c r="D339" s="69">
        <v>8425</v>
      </c>
    </row>
    <row r="340" spans="4:4" x14ac:dyDescent="0.25">
      <c r="D340" s="69">
        <v>8450</v>
      </c>
    </row>
    <row r="341" spans="4:4" x14ac:dyDescent="0.25">
      <c r="D341" s="69">
        <v>8475</v>
      </c>
    </row>
    <row r="342" spans="4:4" x14ac:dyDescent="0.25">
      <c r="D342" s="69">
        <v>8500</v>
      </c>
    </row>
  </sheetData>
  <sheetProtection algorithmName="SHA-512" hashValue="BDfe3Fw0RrW/PYXdVfqd1daShN08lckGDrjch+BJFh5l2wLh+7mCpIWMzqtuQ8WNBo3FT6SshrLChEqIDlt6RQ==" saltValue="v1nZZmCg0MCY0PYUKMf4zw==" spinCount="100000" sheet="1" objects="1" scenarios="1"/>
  <pageMargins left="0.7" right="0.7" top="0.75" bottom="0.75" header="0.3" footer="0.3"/>
  <pageSetup scale="83"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1C797-0F9B-4F65-9408-7B8F9C48F029}">
  <sheetPr>
    <pageSetUpPr fitToPage="1"/>
  </sheetPr>
  <dimension ref="A1:C8"/>
  <sheetViews>
    <sheetView workbookViewId="0">
      <selection activeCell="F5" sqref="F5"/>
    </sheetView>
  </sheetViews>
  <sheetFormatPr defaultRowHeight="15" x14ac:dyDescent="0.25"/>
  <cols>
    <col min="1" max="1" width="25.5703125" bestFit="1" customWidth="1"/>
    <col min="2" max="2" width="5.5703125" bestFit="1" customWidth="1"/>
    <col min="3" max="3" width="74.5703125" bestFit="1" customWidth="1"/>
  </cols>
  <sheetData>
    <row r="1" spans="1:3" ht="24.75" thickBot="1" x14ac:dyDescent="0.45">
      <c r="A1" s="249" t="s">
        <v>542</v>
      </c>
      <c r="B1" s="249"/>
      <c r="C1" s="249"/>
    </row>
    <row r="2" spans="1:3" ht="15.75" x14ac:dyDescent="0.25">
      <c r="A2" s="102" t="s">
        <v>543</v>
      </c>
      <c r="B2" s="103" t="s">
        <v>544</v>
      </c>
      <c r="C2" s="104" t="s">
        <v>545</v>
      </c>
    </row>
    <row r="3" spans="1:3" ht="15.75" x14ac:dyDescent="0.25">
      <c r="A3" s="105" t="s">
        <v>546</v>
      </c>
      <c r="B3" s="106" t="s">
        <v>544</v>
      </c>
      <c r="C3" s="107" t="s">
        <v>547</v>
      </c>
    </row>
    <row r="4" spans="1:3" ht="15.75" x14ac:dyDescent="0.25">
      <c r="A4" s="108" t="s">
        <v>548</v>
      </c>
      <c r="B4" s="109" t="s">
        <v>544</v>
      </c>
      <c r="C4" s="110" t="s">
        <v>549</v>
      </c>
    </row>
    <row r="5" spans="1:3" ht="15.75" x14ac:dyDescent="0.25">
      <c r="A5" s="105" t="s">
        <v>550</v>
      </c>
      <c r="B5" s="111" t="s">
        <v>544</v>
      </c>
      <c r="C5" s="107" t="s">
        <v>551</v>
      </c>
    </row>
    <row r="6" spans="1:3" ht="15.75" x14ac:dyDescent="0.25">
      <c r="A6" s="108" t="s">
        <v>552</v>
      </c>
      <c r="B6" s="109" t="s">
        <v>544</v>
      </c>
      <c r="C6" s="110" t="s">
        <v>553</v>
      </c>
    </row>
    <row r="7" spans="1:3" ht="15.75" x14ac:dyDescent="0.25">
      <c r="A7" s="105" t="s">
        <v>554</v>
      </c>
      <c r="B7" s="112" t="s">
        <v>544</v>
      </c>
      <c r="C7" s="107" t="s">
        <v>555</v>
      </c>
    </row>
    <row r="8" spans="1:3" ht="16.5" thickBot="1" x14ac:dyDescent="0.3">
      <c r="A8" s="113" t="s">
        <v>556</v>
      </c>
      <c r="B8" s="114" t="s">
        <v>544</v>
      </c>
      <c r="C8" s="115" t="s">
        <v>557</v>
      </c>
    </row>
  </sheetData>
  <sheetProtection algorithmName="SHA-512" hashValue="DeSMDHrP8GabWoILEX/qd4nmbXtFvZQFhjsrTR/PhE6n1D67DwkVRmR2UBGkx5WwuZZNURA41n7YULAZNf7uaQ==" saltValue="50QSwUGY2OsH0D2/HYPe2A==" spinCount="100000" sheet="1" objects="1" scenarios="1"/>
  <mergeCells count="1">
    <mergeCell ref="A1:C1"/>
  </mergeCells>
  <hyperlinks>
    <hyperlink ref="B2" r:id="rId1" xr:uid="{437BDC93-4CE0-45A2-9047-5B1D9DA7CF75}"/>
    <hyperlink ref="B3" r:id="rId2" xr:uid="{A0B0341D-4223-48A6-9B1B-7E8B3F9E268C}"/>
    <hyperlink ref="B4" r:id="rId3" xr:uid="{97BB1E3A-E0C7-4E01-A1FD-0A8E47A50640}"/>
    <hyperlink ref="B5" r:id="rId4" xr:uid="{42E16925-1C37-4D81-9087-6E97191ED61D}"/>
    <hyperlink ref="B6" r:id="rId5" xr:uid="{760C1411-45C5-4433-9BAF-BE8DD59FDBB5}"/>
    <hyperlink ref="B7" r:id="rId6" xr:uid="{7594021F-3EE0-4624-9DD1-025C94E57360}"/>
    <hyperlink ref="B8" r:id="rId7" xr:uid="{EDA71ACF-ED40-422E-9D36-1FB3BEE5A147}"/>
  </hyperlinks>
  <pageMargins left="0.7" right="0.7" top="0.75" bottom="0.75" header="0.3" footer="0.3"/>
  <pageSetup orientation="landscape" r:id="rId8"/>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06F7E-10C7-424A-8E66-DBF52B6D5079}">
  <sheetPr>
    <pageSetUpPr fitToPage="1"/>
  </sheetPr>
  <dimension ref="A1:J39"/>
  <sheetViews>
    <sheetView workbookViewId="0">
      <selection activeCell="M6" sqref="M6"/>
    </sheetView>
  </sheetViews>
  <sheetFormatPr defaultRowHeight="15" x14ac:dyDescent="0.25"/>
  <cols>
    <col min="1" max="16384" width="9.140625" style="116"/>
  </cols>
  <sheetData>
    <row r="1" spans="1:10" ht="24.75" thickBot="1" x14ac:dyDescent="0.45">
      <c r="A1" s="296" t="s">
        <v>558</v>
      </c>
      <c r="B1" s="296"/>
      <c r="C1" s="296"/>
      <c r="D1" s="296"/>
      <c r="E1" s="296"/>
      <c r="F1" s="296"/>
      <c r="G1" s="296"/>
      <c r="H1" s="296"/>
      <c r="I1" s="296"/>
      <c r="J1" s="296"/>
    </row>
    <row r="2" spans="1:10" ht="18.75" x14ac:dyDescent="0.3">
      <c r="A2" s="302" t="s">
        <v>559</v>
      </c>
      <c r="B2" s="303"/>
      <c r="C2" s="303"/>
      <c r="D2" s="303"/>
      <c r="E2" s="303"/>
      <c r="F2" s="303"/>
      <c r="G2" s="303"/>
      <c r="H2" s="303"/>
      <c r="I2" s="303"/>
      <c r="J2" s="303"/>
    </row>
    <row r="3" spans="1:10" s="21" customFormat="1" ht="16.5" x14ac:dyDescent="0.25">
      <c r="A3" s="304" t="s">
        <v>560</v>
      </c>
      <c r="B3" s="304"/>
      <c r="C3" s="304"/>
      <c r="D3" s="304"/>
      <c r="E3" s="304"/>
      <c r="F3" s="304"/>
      <c r="G3" s="304"/>
      <c r="H3" s="304"/>
      <c r="I3" s="304"/>
      <c r="J3" s="304"/>
    </row>
    <row r="4" spans="1:10" s="117" customFormat="1" ht="13.5" x14ac:dyDescent="0.2">
      <c r="A4" s="305" t="s">
        <v>690</v>
      </c>
      <c r="B4" s="305"/>
      <c r="C4" s="305"/>
      <c r="D4" s="305"/>
      <c r="E4" s="305"/>
      <c r="F4" s="305"/>
      <c r="G4" s="305"/>
      <c r="H4" s="305"/>
      <c r="I4" s="305"/>
      <c r="J4" s="305"/>
    </row>
    <row r="5" spans="1:10" ht="18.75" x14ac:dyDescent="0.3">
      <c r="A5" s="306" t="s">
        <v>561</v>
      </c>
      <c r="B5" s="307"/>
      <c r="C5" s="307"/>
      <c r="D5" s="307"/>
      <c r="E5" s="307"/>
      <c r="F5" s="307"/>
      <c r="G5" s="307"/>
      <c r="H5" s="307"/>
      <c r="I5" s="307"/>
      <c r="J5" s="307"/>
    </row>
    <row r="6" spans="1:10" s="21" customFormat="1" x14ac:dyDescent="0.25">
      <c r="A6" s="301" t="s">
        <v>562</v>
      </c>
      <c r="B6" s="301"/>
      <c r="C6" s="301"/>
      <c r="D6" s="301"/>
      <c r="E6" s="301"/>
      <c r="F6" s="301"/>
      <c r="G6" s="301"/>
      <c r="H6" s="301"/>
      <c r="I6" s="301"/>
      <c r="J6" s="301"/>
    </row>
    <row r="7" spans="1:10" ht="18.75" x14ac:dyDescent="0.3">
      <c r="A7" s="308" t="s">
        <v>563</v>
      </c>
      <c r="B7" s="309"/>
      <c r="C7" s="309"/>
      <c r="D7" s="309"/>
      <c r="E7" s="309"/>
      <c r="F7" s="309"/>
      <c r="G7" s="309"/>
      <c r="H7" s="309"/>
      <c r="I7" s="309"/>
      <c r="J7" s="309"/>
    </row>
    <row r="8" spans="1:10" s="21" customFormat="1" ht="16.5" x14ac:dyDescent="0.25">
      <c r="A8" s="304" t="s">
        <v>564</v>
      </c>
      <c r="B8" s="304"/>
      <c r="C8" s="304"/>
      <c r="D8" s="304"/>
      <c r="E8" s="304"/>
      <c r="F8" s="304"/>
      <c r="G8" s="304"/>
      <c r="H8" s="304"/>
      <c r="I8" s="304"/>
      <c r="J8" s="304"/>
    </row>
    <row r="9" spans="1:10" s="117" customFormat="1" ht="13.5" x14ac:dyDescent="0.2">
      <c r="A9" s="310" t="s">
        <v>691</v>
      </c>
      <c r="B9" s="310"/>
      <c r="C9" s="310"/>
      <c r="D9" s="310"/>
      <c r="E9" s="310"/>
      <c r="F9" s="310"/>
      <c r="G9" s="310"/>
      <c r="H9" s="310"/>
      <c r="I9" s="310"/>
      <c r="J9" s="310"/>
    </row>
    <row r="10" spans="1:10" s="117" customFormat="1" ht="13.5" x14ac:dyDescent="0.2">
      <c r="A10" s="305" t="s">
        <v>565</v>
      </c>
      <c r="B10" s="305"/>
      <c r="C10" s="305"/>
      <c r="D10" s="305"/>
      <c r="E10" s="305"/>
      <c r="F10" s="305"/>
      <c r="G10" s="305"/>
      <c r="H10" s="305"/>
      <c r="I10" s="305"/>
      <c r="J10" s="305"/>
    </row>
    <row r="11" spans="1:10" ht="18.75" x14ac:dyDescent="0.3">
      <c r="A11" s="306" t="s">
        <v>566</v>
      </c>
      <c r="B11" s="307"/>
      <c r="C11" s="307"/>
      <c r="D11" s="307"/>
      <c r="E11" s="307"/>
      <c r="F11" s="307"/>
      <c r="G11" s="307"/>
      <c r="H11" s="307"/>
      <c r="I11" s="307"/>
      <c r="J11" s="307"/>
    </row>
    <row r="12" spans="1:10" s="21" customFormat="1" x14ac:dyDescent="0.25">
      <c r="A12" s="301" t="s">
        <v>567</v>
      </c>
      <c r="B12" s="301"/>
      <c r="C12" s="301"/>
      <c r="D12" s="301"/>
      <c r="E12" s="301"/>
      <c r="F12" s="301"/>
      <c r="G12" s="301"/>
      <c r="H12" s="301"/>
      <c r="I12" s="301"/>
      <c r="J12" s="301"/>
    </row>
    <row r="13" spans="1:10" ht="18.75" x14ac:dyDescent="0.3">
      <c r="A13" s="308" t="s">
        <v>568</v>
      </c>
      <c r="B13" s="309"/>
      <c r="C13" s="309"/>
      <c r="D13" s="309"/>
      <c r="E13" s="309"/>
      <c r="F13" s="309"/>
      <c r="G13" s="309"/>
      <c r="H13" s="309"/>
      <c r="I13" s="309"/>
      <c r="J13" s="309"/>
    </row>
    <row r="14" spans="1:10" s="21" customFormat="1" x14ac:dyDescent="0.25">
      <c r="A14" s="311" t="s">
        <v>569</v>
      </c>
      <c r="B14" s="311"/>
      <c r="C14" s="311"/>
      <c r="D14" s="311"/>
      <c r="E14" s="311"/>
      <c r="F14" s="311"/>
      <c r="G14" s="311"/>
      <c r="H14" s="311"/>
      <c r="I14" s="311"/>
      <c r="J14" s="311"/>
    </row>
    <row r="15" spans="1:10" ht="18.75" x14ac:dyDescent="0.3">
      <c r="A15" s="306" t="s">
        <v>570</v>
      </c>
      <c r="B15" s="307"/>
      <c r="C15" s="307"/>
      <c r="D15" s="307"/>
      <c r="E15" s="307"/>
      <c r="F15" s="307"/>
      <c r="G15" s="307"/>
      <c r="H15" s="307"/>
      <c r="I15" s="307"/>
      <c r="J15" s="307"/>
    </row>
    <row r="16" spans="1:10" s="21" customFormat="1" x14ac:dyDescent="0.25">
      <c r="A16" s="301" t="s">
        <v>571</v>
      </c>
      <c r="B16" s="312"/>
      <c r="C16" s="312"/>
      <c r="D16" s="312"/>
      <c r="E16" s="312"/>
      <c r="F16" s="312"/>
      <c r="G16" s="312"/>
      <c r="H16" s="312"/>
      <c r="I16" s="312"/>
      <c r="J16" s="312"/>
    </row>
    <row r="17" spans="1:10" ht="18.75" x14ac:dyDescent="0.3">
      <c r="A17" s="308" t="s">
        <v>572</v>
      </c>
      <c r="B17" s="308"/>
      <c r="C17" s="308"/>
      <c r="D17" s="308"/>
      <c r="E17" s="308"/>
      <c r="F17" s="308"/>
      <c r="G17" s="308"/>
      <c r="H17" s="308"/>
      <c r="I17" s="308"/>
      <c r="J17" s="308"/>
    </row>
    <row r="18" spans="1:10" s="21" customFormat="1" ht="16.5" x14ac:dyDescent="0.25">
      <c r="A18" s="304" t="s">
        <v>573</v>
      </c>
      <c r="B18" s="304"/>
      <c r="C18" s="304"/>
      <c r="D18" s="304"/>
      <c r="E18" s="304"/>
      <c r="F18" s="304"/>
      <c r="G18" s="304"/>
      <c r="H18" s="304"/>
      <c r="I18" s="304"/>
      <c r="J18" s="304"/>
    </row>
    <row r="19" spans="1:10" s="117" customFormat="1" ht="13.5" x14ac:dyDescent="0.2">
      <c r="A19" s="305" t="s">
        <v>692</v>
      </c>
      <c r="B19" s="305"/>
      <c r="C19" s="305"/>
      <c r="D19" s="305"/>
      <c r="E19" s="305"/>
      <c r="F19" s="305"/>
      <c r="G19" s="305"/>
      <c r="H19" s="305"/>
      <c r="I19" s="305"/>
      <c r="J19" s="305"/>
    </row>
    <row r="20" spans="1:10" ht="18.75" x14ac:dyDescent="0.3">
      <c r="A20" s="306" t="s">
        <v>574</v>
      </c>
      <c r="B20" s="306"/>
      <c r="C20" s="306"/>
      <c r="D20" s="306"/>
      <c r="E20" s="306"/>
      <c r="F20" s="306"/>
      <c r="G20" s="306"/>
      <c r="H20" s="306"/>
      <c r="I20" s="306"/>
      <c r="J20" s="306"/>
    </row>
    <row r="21" spans="1:10" s="21" customFormat="1" x14ac:dyDescent="0.25">
      <c r="A21" s="301" t="s">
        <v>575</v>
      </c>
      <c r="B21" s="312"/>
      <c r="C21" s="312"/>
      <c r="D21" s="312"/>
      <c r="E21" s="312"/>
      <c r="F21" s="312"/>
      <c r="G21" s="312"/>
      <c r="H21" s="312"/>
      <c r="I21" s="312"/>
      <c r="J21" s="312"/>
    </row>
    <row r="22" spans="1:10" ht="18.75" x14ac:dyDescent="0.3">
      <c r="A22" s="308" t="s">
        <v>576</v>
      </c>
      <c r="B22" s="308"/>
      <c r="C22" s="308"/>
      <c r="D22" s="308"/>
      <c r="E22" s="308"/>
      <c r="F22" s="308"/>
      <c r="G22" s="308"/>
      <c r="H22" s="308"/>
      <c r="I22" s="308"/>
      <c r="J22" s="308"/>
    </row>
    <row r="23" spans="1:10" s="21" customFormat="1" x14ac:dyDescent="0.25">
      <c r="A23" s="313" t="s">
        <v>577</v>
      </c>
      <c r="B23" s="313"/>
      <c r="C23" s="313"/>
      <c r="D23" s="313"/>
      <c r="E23" s="313"/>
      <c r="F23" s="313"/>
      <c r="G23" s="313"/>
      <c r="H23" s="313"/>
      <c r="I23" s="313"/>
      <c r="J23" s="313"/>
    </row>
    <row r="24" spans="1:10" s="21" customFormat="1" x14ac:dyDescent="0.25">
      <c r="A24" s="304" t="s">
        <v>578</v>
      </c>
      <c r="B24" s="304"/>
      <c r="C24" s="304"/>
      <c r="D24" s="304"/>
      <c r="E24" s="304"/>
      <c r="F24" s="304"/>
      <c r="G24" s="304"/>
      <c r="H24" s="304"/>
      <c r="I24" s="304"/>
      <c r="J24" s="304"/>
    </row>
    <row r="25" spans="1:10" s="21" customFormat="1" x14ac:dyDescent="0.25">
      <c r="A25" s="313" t="s">
        <v>579</v>
      </c>
      <c r="B25" s="313"/>
      <c r="C25" s="313"/>
      <c r="D25" s="313"/>
      <c r="E25" s="313"/>
      <c r="F25" s="313"/>
      <c r="G25" s="313"/>
      <c r="H25" s="313"/>
      <c r="I25" s="313"/>
      <c r="J25" s="313"/>
    </row>
    <row r="26" spans="1:10" s="21" customFormat="1" x14ac:dyDescent="0.25">
      <c r="A26" s="304" t="s">
        <v>580</v>
      </c>
      <c r="B26" s="304"/>
      <c r="C26" s="304"/>
      <c r="D26" s="304"/>
      <c r="E26" s="304"/>
      <c r="F26" s="304"/>
      <c r="G26" s="304"/>
      <c r="H26" s="304"/>
      <c r="I26" s="304"/>
      <c r="J26" s="304"/>
    </row>
    <row r="27" spans="1:10" s="21" customFormat="1" ht="13.5" x14ac:dyDescent="0.25">
      <c r="A27" s="305" t="s">
        <v>581</v>
      </c>
      <c r="B27" s="305"/>
      <c r="C27" s="305"/>
      <c r="D27" s="305"/>
      <c r="E27" s="305"/>
      <c r="F27" s="305"/>
      <c r="G27" s="305"/>
      <c r="H27" s="305"/>
      <c r="I27" s="305"/>
      <c r="J27" s="305"/>
    </row>
    <row r="28" spans="1:10" ht="18.75" x14ac:dyDescent="0.3">
      <c r="A28" s="306" t="s">
        <v>582</v>
      </c>
      <c r="B28" s="306"/>
      <c r="C28" s="306"/>
      <c r="D28" s="306"/>
      <c r="E28" s="306"/>
      <c r="F28" s="306"/>
      <c r="G28" s="306"/>
      <c r="H28" s="306"/>
      <c r="I28" s="306"/>
      <c r="J28" s="306"/>
    </row>
    <row r="29" spans="1:10" s="21" customFormat="1" x14ac:dyDescent="0.25">
      <c r="A29" s="301" t="s">
        <v>583</v>
      </c>
      <c r="B29" s="301"/>
      <c r="C29" s="301"/>
      <c r="D29" s="301"/>
      <c r="E29" s="301"/>
      <c r="F29" s="301"/>
      <c r="G29" s="301"/>
      <c r="H29" s="301"/>
      <c r="I29" s="301"/>
      <c r="J29" s="301"/>
    </row>
    <row r="30" spans="1:10" ht="18.75" x14ac:dyDescent="0.3">
      <c r="A30" s="308" t="s">
        <v>584</v>
      </c>
      <c r="B30" s="308"/>
      <c r="C30" s="308"/>
      <c r="D30" s="308"/>
      <c r="E30" s="308"/>
      <c r="F30" s="308"/>
      <c r="G30" s="308"/>
      <c r="H30" s="308"/>
      <c r="I30" s="308"/>
      <c r="J30" s="308"/>
    </row>
    <row r="31" spans="1:10" s="21" customFormat="1" x14ac:dyDescent="0.25">
      <c r="A31" s="311" t="s">
        <v>585</v>
      </c>
      <c r="B31" s="311"/>
      <c r="C31" s="311"/>
      <c r="D31" s="311"/>
      <c r="E31" s="311"/>
      <c r="F31" s="311"/>
      <c r="G31" s="311"/>
      <c r="H31" s="311"/>
      <c r="I31" s="311"/>
      <c r="J31" s="311"/>
    </row>
    <row r="32" spans="1:10" ht="18.75" x14ac:dyDescent="0.3">
      <c r="A32" s="306" t="s">
        <v>586</v>
      </c>
      <c r="B32" s="306"/>
      <c r="C32" s="306"/>
      <c r="D32" s="306"/>
      <c r="E32" s="306"/>
      <c r="F32" s="306"/>
      <c r="G32" s="306"/>
      <c r="H32" s="306"/>
      <c r="I32" s="306"/>
      <c r="J32" s="306"/>
    </row>
    <row r="33" spans="1:10" s="21" customFormat="1" x14ac:dyDescent="0.25">
      <c r="A33" s="301" t="s">
        <v>587</v>
      </c>
      <c r="B33" s="301"/>
      <c r="C33" s="301"/>
      <c r="D33" s="301"/>
      <c r="E33" s="301"/>
      <c r="F33" s="301"/>
      <c r="G33" s="301"/>
      <c r="H33" s="301"/>
      <c r="I33" s="301"/>
      <c r="J33" s="301"/>
    </row>
    <row r="34" spans="1:10" ht="18.75" x14ac:dyDescent="0.3">
      <c r="A34" s="308" t="s">
        <v>588</v>
      </c>
      <c r="B34" s="308"/>
      <c r="C34" s="308"/>
      <c r="D34" s="308"/>
      <c r="E34" s="308"/>
      <c r="F34" s="308"/>
      <c r="G34" s="308"/>
      <c r="H34" s="308"/>
      <c r="I34" s="308"/>
      <c r="J34" s="308"/>
    </row>
    <row r="35" spans="1:10" s="21" customFormat="1" x14ac:dyDescent="0.25">
      <c r="A35" s="311" t="s">
        <v>589</v>
      </c>
      <c r="B35" s="311"/>
      <c r="C35" s="311"/>
      <c r="D35" s="311"/>
      <c r="E35" s="311"/>
      <c r="F35" s="311"/>
      <c r="G35" s="311"/>
      <c r="H35" s="311"/>
      <c r="I35" s="311"/>
      <c r="J35" s="311"/>
    </row>
    <row r="36" spans="1:10" ht="18.75" x14ac:dyDescent="0.3">
      <c r="A36" s="306" t="s">
        <v>590</v>
      </c>
      <c r="B36" s="306"/>
      <c r="C36" s="306"/>
      <c r="D36" s="306"/>
      <c r="E36" s="306"/>
      <c r="F36" s="306"/>
      <c r="G36" s="306"/>
      <c r="H36" s="306"/>
      <c r="I36" s="306"/>
      <c r="J36" s="306"/>
    </row>
    <row r="37" spans="1:10" s="21" customFormat="1" ht="16.5" x14ac:dyDescent="0.25">
      <c r="A37" s="314" t="s">
        <v>591</v>
      </c>
      <c r="B37" s="314"/>
      <c r="C37" s="314"/>
      <c r="D37" s="314"/>
      <c r="E37" s="314"/>
      <c r="F37" s="314"/>
      <c r="G37" s="314"/>
      <c r="H37" s="314"/>
      <c r="I37" s="314"/>
      <c r="J37" s="314"/>
    </row>
    <row r="38" spans="1:10" s="117" customFormat="1" ht="13.5" x14ac:dyDescent="0.2">
      <c r="A38" s="315" t="s">
        <v>592</v>
      </c>
      <c r="B38" s="316"/>
      <c r="C38" s="316"/>
      <c r="D38" s="316"/>
      <c r="E38" s="316"/>
      <c r="F38" s="316"/>
      <c r="G38" s="316"/>
      <c r="H38" s="316"/>
      <c r="I38" s="316"/>
      <c r="J38" s="316"/>
    </row>
    <row r="39" spans="1:10" s="117" customFormat="1" ht="12.75" thickBot="1" x14ac:dyDescent="0.25">
      <c r="A39" s="317" t="s">
        <v>593</v>
      </c>
      <c r="B39" s="317"/>
      <c r="C39" s="317"/>
      <c r="D39" s="317"/>
      <c r="E39" s="317"/>
      <c r="F39" s="317"/>
      <c r="G39" s="317"/>
      <c r="H39" s="317"/>
      <c r="I39" s="317"/>
      <c r="J39" s="317"/>
    </row>
  </sheetData>
  <sheetProtection algorithmName="SHA-512" hashValue="cY4q+PG+AlZmBQ+WtSJErHqmxjyC77TYmEfUtl8ioG+G6TrAEYOuNNeia8alukEExDbPaR4cNbyyfrsZ2Y8gSw==" saltValue="27zBGaTIUsjoUnNzRuz+ig==" spinCount="100000" sheet="1" objects="1" scenarios="1"/>
  <mergeCells count="39">
    <mergeCell ref="A37:J37"/>
    <mergeCell ref="A38:J38"/>
    <mergeCell ref="A39:J39"/>
    <mergeCell ref="A31:J31"/>
    <mergeCell ref="A32:J32"/>
    <mergeCell ref="A33:J33"/>
    <mergeCell ref="A34:J34"/>
    <mergeCell ref="A35:J35"/>
    <mergeCell ref="A36:J36"/>
    <mergeCell ref="A30:J30"/>
    <mergeCell ref="A19:J19"/>
    <mergeCell ref="A20:J20"/>
    <mergeCell ref="A21:J21"/>
    <mergeCell ref="A22:J22"/>
    <mergeCell ref="A23:J23"/>
    <mergeCell ref="A24:J24"/>
    <mergeCell ref="A25:J25"/>
    <mergeCell ref="A26:J26"/>
    <mergeCell ref="A27:J27"/>
    <mergeCell ref="A28:J28"/>
    <mergeCell ref="A29:J29"/>
    <mergeCell ref="A18:J18"/>
    <mergeCell ref="A7:J7"/>
    <mergeCell ref="A8:J8"/>
    <mergeCell ref="A9:J9"/>
    <mergeCell ref="A10:J10"/>
    <mergeCell ref="A11:J11"/>
    <mergeCell ref="A12:J12"/>
    <mergeCell ref="A13:J13"/>
    <mergeCell ref="A14:J14"/>
    <mergeCell ref="A15:J15"/>
    <mergeCell ref="A16:J16"/>
    <mergeCell ref="A17:J17"/>
    <mergeCell ref="A6:J6"/>
    <mergeCell ref="A1:J1"/>
    <mergeCell ref="A2:J2"/>
    <mergeCell ref="A3:J3"/>
    <mergeCell ref="A4:J4"/>
    <mergeCell ref="A5:J5"/>
  </mergeCells>
  <pageMargins left="0.7" right="0.7" top="0.75" bottom="0.75" header="0.3" footer="0.3"/>
  <pageSetup scale="9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AFEB2-EABF-42B9-BC1E-B83CBD6FD13A}">
  <sheetPr>
    <pageSetUpPr fitToPage="1"/>
  </sheetPr>
  <dimension ref="A1:I43"/>
  <sheetViews>
    <sheetView workbookViewId="0">
      <selection activeCell="L4" sqref="L4"/>
    </sheetView>
  </sheetViews>
  <sheetFormatPr defaultRowHeight="15" x14ac:dyDescent="0.25"/>
  <cols>
    <col min="1" max="1" width="34.28515625" style="116" bestFit="1" customWidth="1"/>
    <col min="2" max="8" width="9.140625" style="21"/>
    <col min="9" max="16384" width="9.140625" style="116"/>
  </cols>
  <sheetData>
    <row r="1" spans="1:9" ht="24.75" thickBot="1" x14ac:dyDescent="0.45">
      <c r="A1" s="249" t="s">
        <v>594</v>
      </c>
      <c r="B1" s="249"/>
      <c r="C1" s="249"/>
      <c r="D1" s="249"/>
      <c r="E1" s="249"/>
      <c r="F1" s="249"/>
      <c r="G1" s="249"/>
      <c r="H1" s="249"/>
      <c r="I1" s="249"/>
    </row>
    <row r="2" spans="1:9" ht="15" customHeight="1" x14ac:dyDescent="0.25">
      <c r="A2" s="322" t="s">
        <v>20</v>
      </c>
      <c r="B2" s="323" t="s">
        <v>595</v>
      </c>
      <c r="C2" s="323"/>
      <c r="D2" s="323"/>
      <c r="E2" s="323"/>
      <c r="F2" s="323"/>
      <c r="G2" s="323"/>
      <c r="H2" s="323"/>
      <c r="I2" s="323"/>
    </row>
    <row r="3" spans="1:9" ht="15" customHeight="1" x14ac:dyDescent="0.25">
      <c r="A3" s="321"/>
      <c r="B3" s="324"/>
      <c r="C3" s="324"/>
      <c r="D3" s="324"/>
      <c r="E3" s="324"/>
      <c r="F3" s="324"/>
      <c r="G3" s="324"/>
      <c r="H3" s="324"/>
      <c r="I3" s="324"/>
    </row>
    <row r="4" spans="1:9" ht="15.75" x14ac:dyDescent="0.25">
      <c r="A4" s="118" t="s">
        <v>596</v>
      </c>
      <c r="B4" s="325" t="s">
        <v>597</v>
      </c>
      <c r="C4" s="325"/>
      <c r="D4" s="325"/>
      <c r="E4" s="325"/>
      <c r="F4" s="325"/>
      <c r="G4" s="325"/>
      <c r="H4" s="325"/>
      <c r="I4" s="325"/>
    </row>
    <row r="5" spans="1:9" ht="15" customHeight="1" x14ac:dyDescent="0.25">
      <c r="A5" s="318" t="s">
        <v>598</v>
      </c>
      <c r="B5" s="320" t="s">
        <v>599</v>
      </c>
      <c r="C5" s="320"/>
      <c r="D5" s="320"/>
      <c r="E5" s="320"/>
      <c r="F5" s="320"/>
      <c r="G5" s="320"/>
      <c r="H5" s="320"/>
      <c r="I5" s="320"/>
    </row>
    <row r="6" spans="1:9" ht="15" customHeight="1" x14ac:dyDescent="0.25">
      <c r="A6" s="324"/>
      <c r="B6" s="324"/>
      <c r="C6" s="324"/>
      <c r="D6" s="324"/>
      <c r="E6" s="324"/>
      <c r="F6" s="324"/>
      <c r="G6" s="324"/>
      <c r="H6" s="324"/>
      <c r="I6" s="324"/>
    </row>
    <row r="7" spans="1:9" ht="15.75" x14ac:dyDescent="0.25">
      <c r="A7" s="118" t="s">
        <v>538</v>
      </c>
      <c r="B7" s="325" t="s">
        <v>600</v>
      </c>
      <c r="C7" s="325"/>
      <c r="D7" s="325"/>
      <c r="E7" s="325"/>
      <c r="F7" s="325"/>
      <c r="G7" s="325"/>
      <c r="H7" s="325"/>
      <c r="I7" s="325"/>
    </row>
    <row r="8" spans="1:9" ht="15" customHeight="1" x14ac:dyDescent="0.25">
      <c r="A8" s="318" t="s">
        <v>601</v>
      </c>
      <c r="B8" s="320" t="s">
        <v>602</v>
      </c>
      <c r="C8" s="320"/>
      <c r="D8" s="320"/>
      <c r="E8" s="320"/>
      <c r="F8" s="320"/>
      <c r="G8" s="320"/>
      <c r="H8" s="320"/>
      <c r="I8" s="320"/>
    </row>
    <row r="9" spans="1:9" ht="15" customHeight="1" x14ac:dyDescent="0.25">
      <c r="A9" s="324"/>
      <c r="B9" s="324"/>
      <c r="C9" s="324"/>
      <c r="D9" s="324"/>
      <c r="E9" s="324"/>
      <c r="F9" s="324"/>
      <c r="G9" s="324"/>
      <c r="H9" s="324"/>
      <c r="I9" s="324"/>
    </row>
    <row r="10" spans="1:9" ht="15" customHeight="1" x14ac:dyDescent="0.25">
      <c r="A10" s="326" t="s">
        <v>603</v>
      </c>
      <c r="B10" s="325" t="s">
        <v>604</v>
      </c>
      <c r="C10" s="325"/>
      <c r="D10" s="325"/>
      <c r="E10" s="325"/>
      <c r="F10" s="325"/>
      <c r="G10" s="325"/>
      <c r="H10" s="325"/>
      <c r="I10" s="325"/>
    </row>
    <row r="11" spans="1:9" ht="15" customHeight="1" x14ac:dyDescent="0.25">
      <c r="A11" s="327"/>
      <c r="B11" s="327"/>
      <c r="C11" s="327"/>
      <c r="D11" s="327"/>
      <c r="E11" s="327"/>
      <c r="F11" s="327"/>
      <c r="G11" s="327"/>
      <c r="H11" s="327"/>
      <c r="I11" s="327"/>
    </row>
    <row r="12" spans="1:9" x14ac:dyDescent="0.25">
      <c r="A12" s="318" t="s">
        <v>605</v>
      </c>
      <c r="B12" s="320" t="s">
        <v>606</v>
      </c>
      <c r="C12" s="320"/>
      <c r="D12" s="320"/>
      <c r="E12" s="320"/>
      <c r="F12" s="320"/>
      <c r="G12" s="320"/>
      <c r="H12" s="320"/>
      <c r="I12" s="320"/>
    </row>
    <row r="13" spans="1:9" x14ac:dyDescent="0.25">
      <c r="A13" s="319"/>
      <c r="B13" s="321"/>
      <c r="C13" s="321"/>
      <c r="D13" s="321"/>
      <c r="E13" s="321"/>
      <c r="F13" s="321"/>
      <c r="G13" s="321"/>
      <c r="H13" s="321"/>
      <c r="I13" s="321"/>
    </row>
    <row r="14" spans="1:9" ht="15.75" x14ac:dyDescent="0.25">
      <c r="A14" s="118" t="s">
        <v>607</v>
      </c>
      <c r="B14" s="325" t="s">
        <v>608</v>
      </c>
      <c r="C14" s="325"/>
      <c r="D14" s="325"/>
      <c r="E14" s="325"/>
      <c r="F14" s="325"/>
      <c r="G14" s="325"/>
      <c r="H14" s="325"/>
      <c r="I14" s="325"/>
    </row>
    <row r="15" spans="1:9" ht="15.75" x14ac:dyDescent="0.25">
      <c r="A15" s="119" t="s">
        <v>609</v>
      </c>
      <c r="B15" s="320" t="s">
        <v>610</v>
      </c>
      <c r="C15" s="320"/>
      <c r="D15" s="320"/>
      <c r="E15" s="320"/>
      <c r="F15" s="320"/>
      <c r="G15" s="320"/>
      <c r="H15" s="320"/>
      <c r="I15" s="320"/>
    </row>
    <row r="16" spans="1:9" x14ac:dyDescent="0.25">
      <c r="A16" s="326" t="s">
        <v>611</v>
      </c>
      <c r="B16" s="325" t="s">
        <v>612</v>
      </c>
      <c r="C16" s="325"/>
      <c r="D16" s="325"/>
      <c r="E16" s="325"/>
      <c r="F16" s="325"/>
      <c r="G16" s="325"/>
      <c r="H16" s="325"/>
      <c r="I16" s="325"/>
    </row>
    <row r="17" spans="1:9" x14ac:dyDescent="0.25">
      <c r="A17" s="327"/>
      <c r="B17" s="327"/>
      <c r="C17" s="327"/>
      <c r="D17" s="327"/>
      <c r="E17" s="327"/>
      <c r="F17" s="327"/>
      <c r="G17" s="327"/>
      <c r="H17" s="327"/>
      <c r="I17" s="327"/>
    </row>
    <row r="18" spans="1:9" x14ac:dyDescent="0.25">
      <c r="A18" s="318" t="s">
        <v>613</v>
      </c>
      <c r="B18" s="320" t="s">
        <v>614</v>
      </c>
      <c r="C18" s="320"/>
      <c r="D18" s="320"/>
      <c r="E18" s="320"/>
      <c r="F18" s="320"/>
      <c r="G18" s="320"/>
      <c r="H18" s="320"/>
      <c r="I18" s="320"/>
    </row>
    <row r="19" spans="1:9" x14ac:dyDescent="0.25">
      <c r="A19" s="324"/>
      <c r="B19" s="324"/>
      <c r="C19" s="324"/>
      <c r="D19" s="324"/>
      <c r="E19" s="324"/>
      <c r="F19" s="324"/>
      <c r="G19" s="324"/>
      <c r="H19" s="324"/>
      <c r="I19" s="324"/>
    </row>
    <row r="20" spans="1:9" ht="15.75" x14ac:dyDescent="0.25">
      <c r="A20" s="118" t="s">
        <v>615</v>
      </c>
      <c r="B20" s="325" t="s">
        <v>616</v>
      </c>
      <c r="C20" s="325"/>
      <c r="D20" s="325"/>
      <c r="E20" s="325"/>
      <c r="F20" s="325"/>
      <c r="G20" s="325"/>
      <c r="H20" s="325"/>
      <c r="I20" s="325"/>
    </row>
    <row r="21" spans="1:9" x14ac:dyDescent="0.25">
      <c r="A21" s="318" t="s">
        <v>617</v>
      </c>
      <c r="B21" s="320" t="s">
        <v>618</v>
      </c>
      <c r="C21" s="320"/>
      <c r="D21" s="320"/>
      <c r="E21" s="320"/>
      <c r="F21" s="320"/>
      <c r="G21" s="320"/>
      <c r="H21" s="320"/>
      <c r="I21" s="320"/>
    </row>
    <row r="22" spans="1:9" x14ac:dyDescent="0.25">
      <c r="A22" s="324"/>
      <c r="B22" s="324"/>
      <c r="C22" s="324"/>
      <c r="D22" s="324"/>
      <c r="E22" s="324"/>
      <c r="F22" s="324"/>
      <c r="G22" s="324"/>
      <c r="H22" s="324"/>
      <c r="I22" s="324"/>
    </row>
    <row r="23" spans="1:9" x14ac:dyDescent="0.25">
      <c r="A23" s="326" t="s">
        <v>619</v>
      </c>
      <c r="B23" s="325" t="s">
        <v>620</v>
      </c>
      <c r="C23" s="325"/>
      <c r="D23" s="325"/>
      <c r="E23" s="325"/>
      <c r="F23" s="325"/>
      <c r="G23" s="325"/>
      <c r="H23" s="325"/>
      <c r="I23" s="325"/>
    </row>
    <row r="24" spans="1:9" x14ac:dyDescent="0.25">
      <c r="A24" s="327"/>
      <c r="B24" s="327"/>
      <c r="C24" s="327"/>
      <c r="D24" s="327"/>
      <c r="E24" s="327"/>
      <c r="F24" s="327"/>
      <c r="G24" s="327"/>
      <c r="H24" s="327"/>
      <c r="I24" s="327"/>
    </row>
    <row r="25" spans="1:9" ht="15.75" x14ac:dyDescent="0.25">
      <c r="A25" s="119" t="s">
        <v>621</v>
      </c>
      <c r="B25" s="320" t="s">
        <v>622</v>
      </c>
      <c r="C25" s="320"/>
      <c r="D25" s="320"/>
      <c r="E25" s="320"/>
      <c r="F25" s="320"/>
      <c r="G25" s="320"/>
      <c r="H25" s="320"/>
      <c r="I25" s="320"/>
    </row>
    <row r="26" spans="1:9" ht="15.75" x14ac:dyDescent="0.25">
      <c r="A26" s="118" t="s">
        <v>623</v>
      </c>
      <c r="B26" s="325" t="s">
        <v>624</v>
      </c>
      <c r="C26" s="325"/>
      <c r="D26" s="325"/>
      <c r="E26" s="325"/>
      <c r="F26" s="325"/>
      <c r="G26" s="325"/>
      <c r="H26" s="325"/>
      <c r="I26" s="325"/>
    </row>
    <row r="27" spans="1:9" ht="15.75" x14ac:dyDescent="0.25">
      <c r="A27" s="119" t="s">
        <v>536</v>
      </c>
      <c r="B27" s="320" t="s">
        <v>625</v>
      </c>
      <c r="C27" s="320"/>
      <c r="D27" s="320"/>
      <c r="E27" s="320"/>
      <c r="F27" s="320"/>
      <c r="G27" s="320"/>
      <c r="H27" s="320"/>
      <c r="I27" s="320"/>
    </row>
    <row r="28" spans="1:9" ht="15.75" x14ac:dyDescent="0.25">
      <c r="A28" s="118" t="s">
        <v>626</v>
      </c>
      <c r="B28" s="325" t="s">
        <v>627</v>
      </c>
      <c r="C28" s="325"/>
      <c r="D28" s="325"/>
      <c r="E28" s="325"/>
      <c r="F28" s="325"/>
      <c r="G28" s="325"/>
      <c r="H28" s="325"/>
      <c r="I28" s="325"/>
    </row>
    <row r="29" spans="1:9" x14ac:dyDescent="0.25">
      <c r="A29" s="318" t="s">
        <v>628</v>
      </c>
      <c r="B29" s="320" t="s">
        <v>629</v>
      </c>
      <c r="C29" s="320"/>
      <c r="D29" s="320"/>
      <c r="E29" s="320"/>
      <c r="F29" s="320"/>
      <c r="G29" s="320"/>
      <c r="H29" s="320"/>
      <c r="I29" s="320"/>
    </row>
    <row r="30" spans="1:9" x14ac:dyDescent="0.25">
      <c r="A30" s="324"/>
      <c r="B30" s="324"/>
      <c r="C30" s="324"/>
      <c r="D30" s="324"/>
      <c r="E30" s="324"/>
      <c r="F30" s="324"/>
      <c r="G30" s="324"/>
      <c r="H30" s="324"/>
      <c r="I30" s="324"/>
    </row>
    <row r="31" spans="1:9" ht="15.75" x14ac:dyDescent="0.25">
      <c r="A31" s="118" t="s">
        <v>630</v>
      </c>
      <c r="B31" s="325" t="s">
        <v>631</v>
      </c>
      <c r="C31" s="325"/>
      <c r="D31" s="325"/>
      <c r="E31" s="325"/>
      <c r="F31" s="325"/>
      <c r="G31" s="325"/>
      <c r="H31" s="325"/>
      <c r="I31" s="325"/>
    </row>
    <row r="32" spans="1:9" ht="15.75" x14ac:dyDescent="0.25">
      <c r="A32" s="119" t="s">
        <v>632</v>
      </c>
      <c r="B32" s="320" t="s">
        <v>633</v>
      </c>
      <c r="C32" s="320"/>
      <c r="D32" s="320"/>
      <c r="E32" s="320"/>
      <c r="F32" s="320"/>
      <c r="G32" s="320"/>
      <c r="H32" s="320"/>
      <c r="I32" s="320"/>
    </row>
    <row r="33" spans="1:9" ht="15.75" x14ac:dyDescent="0.25">
      <c r="A33" s="118" t="s">
        <v>634</v>
      </c>
      <c r="B33" s="325" t="s">
        <v>635</v>
      </c>
      <c r="C33" s="325"/>
      <c r="D33" s="325"/>
      <c r="E33" s="325"/>
      <c r="F33" s="325"/>
      <c r="G33" s="325"/>
      <c r="H33" s="325"/>
      <c r="I33" s="325"/>
    </row>
    <row r="34" spans="1:9" ht="15.75" x14ac:dyDescent="0.25">
      <c r="A34" s="119" t="s">
        <v>636</v>
      </c>
      <c r="B34" s="320" t="s">
        <v>637</v>
      </c>
      <c r="C34" s="320"/>
      <c r="D34" s="320"/>
      <c r="E34" s="320"/>
      <c r="F34" s="320"/>
      <c r="G34" s="320"/>
      <c r="H34" s="320"/>
      <c r="I34" s="320"/>
    </row>
    <row r="35" spans="1:9" x14ac:dyDescent="0.25">
      <c r="A35" s="326" t="s">
        <v>638</v>
      </c>
      <c r="B35" s="325" t="s">
        <v>639</v>
      </c>
      <c r="C35" s="325"/>
      <c r="D35" s="325"/>
      <c r="E35" s="325"/>
      <c r="F35" s="325"/>
      <c r="G35" s="325"/>
      <c r="H35" s="325"/>
      <c r="I35" s="325"/>
    </row>
    <row r="36" spans="1:9" x14ac:dyDescent="0.25">
      <c r="A36" s="327"/>
      <c r="B36" s="327"/>
      <c r="C36" s="327"/>
      <c r="D36" s="327"/>
      <c r="E36" s="327"/>
      <c r="F36" s="327"/>
      <c r="G36" s="327"/>
      <c r="H36" s="327"/>
      <c r="I36" s="327"/>
    </row>
    <row r="37" spans="1:9" x14ac:dyDescent="0.25">
      <c r="A37" s="318" t="s">
        <v>640</v>
      </c>
      <c r="B37" s="320" t="s">
        <v>641</v>
      </c>
      <c r="C37" s="320"/>
      <c r="D37" s="320"/>
      <c r="E37" s="320"/>
      <c r="F37" s="320"/>
      <c r="G37" s="320"/>
      <c r="H37" s="320"/>
      <c r="I37" s="320"/>
    </row>
    <row r="38" spans="1:9" x14ac:dyDescent="0.25">
      <c r="A38" s="319"/>
      <c r="B38" s="321"/>
      <c r="C38" s="321"/>
      <c r="D38" s="321"/>
      <c r="E38" s="321"/>
      <c r="F38" s="321"/>
      <c r="G38" s="321"/>
      <c r="H38" s="321"/>
      <c r="I38" s="321"/>
    </row>
    <row r="39" spans="1:9" ht="15.75" x14ac:dyDescent="0.25">
      <c r="A39" s="118" t="s">
        <v>642</v>
      </c>
      <c r="B39" s="325" t="s">
        <v>643</v>
      </c>
      <c r="C39" s="325"/>
      <c r="D39" s="325"/>
      <c r="E39" s="325"/>
      <c r="F39" s="325"/>
      <c r="G39" s="325"/>
      <c r="H39" s="325"/>
      <c r="I39" s="325"/>
    </row>
    <row r="40" spans="1:9" ht="15.75" x14ac:dyDescent="0.25">
      <c r="A40" s="119" t="s">
        <v>644</v>
      </c>
      <c r="B40" s="320" t="s">
        <v>645</v>
      </c>
      <c r="C40" s="320"/>
      <c r="D40" s="320"/>
      <c r="E40" s="320"/>
      <c r="F40" s="320"/>
      <c r="G40" s="320"/>
      <c r="H40" s="320"/>
      <c r="I40" s="320"/>
    </row>
    <row r="41" spans="1:9" x14ac:dyDescent="0.25">
      <c r="A41" s="326" t="s">
        <v>646</v>
      </c>
      <c r="B41" s="325" t="s">
        <v>647</v>
      </c>
      <c r="C41" s="325"/>
      <c r="D41" s="325"/>
      <c r="E41" s="325"/>
      <c r="F41" s="325"/>
      <c r="G41" s="325"/>
      <c r="H41" s="325"/>
      <c r="I41" s="325"/>
    </row>
    <row r="42" spans="1:9" x14ac:dyDescent="0.25">
      <c r="A42" s="328"/>
      <c r="B42" s="327"/>
      <c r="C42" s="327"/>
      <c r="D42" s="327"/>
      <c r="E42" s="327"/>
      <c r="F42" s="327"/>
      <c r="G42" s="327"/>
      <c r="H42" s="327"/>
      <c r="I42" s="327"/>
    </row>
    <row r="43" spans="1:9" ht="16.5" thickBot="1" x14ac:dyDescent="0.3">
      <c r="A43" s="120" t="s">
        <v>648</v>
      </c>
      <c r="B43" s="329" t="s">
        <v>649</v>
      </c>
      <c r="C43" s="329"/>
      <c r="D43" s="329"/>
      <c r="E43" s="329"/>
      <c r="F43" s="329"/>
      <c r="G43" s="329"/>
      <c r="H43" s="329"/>
      <c r="I43" s="329"/>
    </row>
  </sheetData>
  <sheetProtection algorithmName="SHA-512" hashValue="NGVA+vaQaCjO6vZVi+hBSvAplJFMEk4k++NxBs1DQGBXM1d8IETIRtUqyqTuayKFc4rF/r7LKIh6+SBVkskmVg==" saltValue="yekfsYSsOrXpP+GEke/j/A==" spinCount="100000" sheet="1" objects="1" scenarios="1"/>
  <mergeCells count="43">
    <mergeCell ref="B39:I39"/>
    <mergeCell ref="B40:I40"/>
    <mergeCell ref="A41:A42"/>
    <mergeCell ref="B41:I42"/>
    <mergeCell ref="B43:I43"/>
    <mergeCell ref="A37:A38"/>
    <mergeCell ref="B37:I38"/>
    <mergeCell ref="B26:I26"/>
    <mergeCell ref="B27:I27"/>
    <mergeCell ref="B28:I28"/>
    <mergeCell ref="A29:A30"/>
    <mergeCell ref="B29:I30"/>
    <mergeCell ref="B31:I31"/>
    <mergeCell ref="B32:I32"/>
    <mergeCell ref="B33:I33"/>
    <mergeCell ref="B34:I34"/>
    <mergeCell ref="A35:A36"/>
    <mergeCell ref="B35:I36"/>
    <mergeCell ref="B25:I25"/>
    <mergeCell ref="B14:I14"/>
    <mergeCell ref="B15:I15"/>
    <mergeCell ref="A16:A17"/>
    <mergeCell ref="B16:I17"/>
    <mergeCell ref="A18:A19"/>
    <mergeCell ref="B18:I19"/>
    <mergeCell ref="B20:I20"/>
    <mergeCell ref="A21:A22"/>
    <mergeCell ref="B21:I22"/>
    <mergeCell ref="A23:A24"/>
    <mergeCell ref="B23:I24"/>
    <mergeCell ref="A12:A13"/>
    <mergeCell ref="B12:I13"/>
    <mergeCell ref="A1:I1"/>
    <mergeCell ref="A2:A3"/>
    <mergeCell ref="B2:I3"/>
    <mergeCell ref="B4:I4"/>
    <mergeCell ref="A5:A6"/>
    <mergeCell ref="B5:I6"/>
    <mergeCell ref="B7:I7"/>
    <mergeCell ref="A8:A9"/>
    <mergeCell ref="B8:I9"/>
    <mergeCell ref="A10:A11"/>
    <mergeCell ref="B10:I11"/>
  </mergeCells>
  <pageMargins left="0.7" right="0.7" top="0.75" bottom="0.75" header="0.3" footer="0.3"/>
  <pageSetup scale="8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4A407-D674-4980-BC0E-A09D65FB0CD9}">
  <sheetPr>
    <pageSetUpPr fitToPage="1"/>
  </sheetPr>
  <dimension ref="A1:K39"/>
  <sheetViews>
    <sheetView workbookViewId="0">
      <selection activeCell="M6" sqref="M6"/>
    </sheetView>
  </sheetViews>
  <sheetFormatPr defaultRowHeight="15" x14ac:dyDescent="0.25"/>
  <sheetData>
    <row r="1" spans="1:11" ht="18.75" x14ac:dyDescent="0.3">
      <c r="A1" s="131"/>
      <c r="B1" s="132"/>
      <c r="C1" s="132"/>
      <c r="D1" s="132"/>
      <c r="E1" s="132"/>
      <c r="F1" s="132"/>
      <c r="G1" s="132"/>
      <c r="H1" s="132"/>
      <c r="I1" s="132"/>
      <c r="J1" s="132"/>
      <c r="K1" s="133"/>
    </row>
    <row r="2" spans="1:11" x14ac:dyDescent="0.25">
      <c r="A2" s="134"/>
      <c r="B2" s="214"/>
      <c r="C2" s="214"/>
      <c r="D2" s="214"/>
      <c r="E2" s="214"/>
      <c r="F2" s="214"/>
      <c r="G2" s="214"/>
      <c r="H2" s="214"/>
      <c r="I2" s="214"/>
      <c r="J2" s="214"/>
      <c r="K2" s="135"/>
    </row>
    <row r="3" spans="1:11" x14ac:dyDescent="0.25">
      <c r="A3" s="134"/>
      <c r="B3" s="214"/>
      <c r="C3" s="214"/>
      <c r="D3" s="214"/>
      <c r="E3" s="214"/>
      <c r="F3" s="214"/>
      <c r="G3" s="214"/>
      <c r="H3" s="214"/>
      <c r="I3" s="214"/>
      <c r="J3" s="214"/>
      <c r="K3" s="135"/>
    </row>
    <row r="4" spans="1:11" x14ac:dyDescent="0.25">
      <c r="A4" s="134"/>
      <c r="B4" s="214"/>
      <c r="C4" s="214"/>
      <c r="D4" s="214"/>
      <c r="E4" s="214"/>
      <c r="F4" s="214"/>
      <c r="G4" s="214"/>
      <c r="H4" s="214"/>
      <c r="I4" s="214"/>
      <c r="J4" s="214"/>
      <c r="K4" s="135"/>
    </row>
    <row r="5" spans="1:11" x14ac:dyDescent="0.25">
      <c r="A5" s="134"/>
      <c r="B5" s="214"/>
      <c r="C5" s="214"/>
      <c r="D5" s="214"/>
      <c r="E5" s="214"/>
      <c r="F5" s="214"/>
      <c r="G5" s="214"/>
      <c r="H5" s="214"/>
      <c r="I5" s="214"/>
      <c r="J5" s="214"/>
      <c r="K5" s="135"/>
    </row>
    <row r="6" spans="1:11" x14ac:dyDescent="0.25">
      <c r="A6" s="134"/>
      <c r="B6" s="214"/>
      <c r="C6" s="214"/>
      <c r="D6" s="214"/>
      <c r="E6" s="214"/>
      <c r="F6" s="214"/>
      <c r="G6" s="214"/>
      <c r="H6" s="214"/>
      <c r="I6" s="214"/>
      <c r="J6" s="214"/>
      <c r="K6" s="135"/>
    </row>
    <row r="7" spans="1:11" x14ac:dyDescent="0.25">
      <c r="A7" s="134"/>
      <c r="B7" s="214"/>
      <c r="C7" s="214"/>
      <c r="D7" s="214"/>
      <c r="E7" s="214"/>
      <c r="F7" s="214"/>
      <c r="G7" s="214"/>
      <c r="H7" s="214"/>
      <c r="I7" s="214"/>
      <c r="J7" s="214"/>
      <c r="K7" s="135"/>
    </row>
    <row r="8" spans="1:11" x14ac:dyDescent="0.25">
      <c r="A8" s="134"/>
      <c r="B8" s="214"/>
      <c r="C8" s="214"/>
      <c r="D8" s="214"/>
      <c r="E8" s="214"/>
      <c r="F8" s="214"/>
      <c r="G8" s="214"/>
      <c r="H8" s="214"/>
      <c r="I8" s="214"/>
      <c r="J8" s="214"/>
      <c r="K8" s="135"/>
    </row>
    <row r="9" spans="1:11" ht="24" x14ac:dyDescent="0.4">
      <c r="A9" s="240" t="s">
        <v>695</v>
      </c>
      <c r="B9" s="241"/>
      <c r="C9" s="241"/>
      <c r="D9" s="241"/>
      <c r="E9" s="241"/>
      <c r="F9" s="241"/>
      <c r="G9" s="241"/>
      <c r="H9" s="241"/>
      <c r="I9" s="241"/>
      <c r="J9" s="241"/>
      <c r="K9" s="242"/>
    </row>
    <row r="10" spans="1:11" x14ac:dyDescent="0.25">
      <c r="A10" s="136"/>
      <c r="B10" s="215"/>
      <c r="C10" s="215"/>
      <c r="D10" s="215"/>
      <c r="E10" s="215"/>
      <c r="F10" s="215"/>
      <c r="G10" s="215"/>
      <c r="H10" s="215"/>
      <c r="I10" s="215"/>
      <c r="J10" s="215"/>
      <c r="K10" s="137"/>
    </row>
    <row r="11" spans="1:11" ht="15" customHeight="1" x14ac:dyDescent="0.25">
      <c r="A11" s="243" t="s">
        <v>696</v>
      </c>
      <c r="B11" s="244"/>
      <c r="C11" s="244"/>
      <c r="D11" s="244"/>
      <c r="E11" s="244"/>
      <c r="F11" s="244"/>
      <c r="G11" s="244"/>
      <c r="H11" s="244"/>
      <c r="I11" s="244"/>
      <c r="J11" s="244"/>
      <c r="K11" s="245"/>
    </row>
    <row r="12" spans="1:11" ht="15" customHeight="1" x14ac:dyDescent="0.25">
      <c r="A12" s="243"/>
      <c r="B12" s="244"/>
      <c r="C12" s="244"/>
      <c r="D12" s="244"/>
      <c r="E12" s="244"/>
      <c r="F12" s="244"/>
      <c r="G12" s="244"/>
      <c r="H12" s="244"/>
      <c r="I12" s="244"/>
      <c r="J12" s="244"/>
      <c r="K12" s="245"/>
    </row>
    <row r="13" spans="1:11" ht="15" customHeight="1" x14ac:dyDescent="0.25">
      <c r="A13" s="243"/>
      <c r="B13" s="244"/>
      <c r="C13" s="244"/>
      <c r="D13" s="244"/>
      <c r="E13" s="244"/>
      <c r="F13" s="244"/>
      <c r="G13" s="244"/>
      <c r="H13" s="244"/>
      <c r="I13" s="244"/>
      <c r="J13" s="244"/>
      <c r="K13" s="245"/>
    </row>
    <row r="14" spans="1:11" ht="15" customHeight="1" x14ac:dyDescent="0.25">
      <c r="A14" s="243"/>
      <c r="B14" s="244"/>
      <c r="C14" s="244"/>
      <c r="D14" s="244"/>
      <c r="E14" s="244"/>
      <c r="F14" s="244"/>
      <c r="G14" s="244"/>
      <c r="H14" s="244"/>
      <c r="I14" s="244"/>
      <c r="J14" s="244"/>
      <c r="K14" s="245"/>
    </row>
    <row r="15" spans="1:11" ht="15" customHeight="1" x14ac:dyDescent="0.25">
      <c r="A15" s="243"/>
      <c r="B15" s="244"/>
      <c r="C15" s="244"/>
      <c r="D15" s="244"/>
      <c r="E15" s="244"/>
      <c r="F15" s="244"/>
      <c r="G15" s="244"/>
      <c r="H15" s="244"/>
      <c r="I15" s="244"/>
      <c r="J15" s="244"/>
      <c r="K15" s="245"/>
    </row>
    <row r="16" spans="1:11" ht="15" customHeight="1" x14ac:dyDescent="0.25">
      <c r="A16" s="243"/>
      <c r="B16" s="244"/>
      <c r="C16" s="244"/>
      <c r="D16" s="244"/>
      <c r="E16" s="244"/>
      <c r="F16" s="244"/>
      <c r="G16" s="244"/>
      <c r="H16" s="244"/>
      <c r="I16" s="244"/>
      <c r="J16" s="244"/>
      <c r="K16" s="245"/>
    </row>
    <row r="17" spans="1:11" ht="15" customHeight="1" x14ac:dyDescent="0.25">
      <c r="A17" s="243"/>
      <c r="B17" s="244"/>
      <c r="C17" s="244"/>
      <c r="D17" s="244"/>
      <c r="E17" s="244"/>
      <c r="F17" s="244"/>
      <c r="G17" s="244"/>
      <c r="H17" s="244"/>
      <c r="I17" s="244"/>
      <c r="J17" s="244"/>
      <c r="K17" s="245"/>
    </row>
    <row r="18" spans="1:11" ht="15" customHeight="1" x14ac:dyDescent="0.25">
      <c r="A18" s="243"/>
      <c r="B18" s="244"/>
      <c r="C18" s="244"/>
      <c r="D18" s="244"/>
      <c r="E18" s="244"/>
      <c r="F18" s="244"/>
      <c r="G18" s="244"/>
      <c r="H18" s="244"/>
      <c r="I18" s="244"/>
      <c r="J18" s="244"/>
      <c r="K18" s="245"/>
    </row>
    <row r="19" spans="1:11" ht="15" customHeight="1" x14ac:dyDescent="0.25">
      <c r="A19" s="243"/>
      <c r="B19" s="244"/>
      <c r="C19" s="244"/>
      <c r="D19" s="244"/>
      <c r="E19" s="244"/>
      <c r="F19" s="244"/>
      <c r="G19" s="244"/>
      <c r="H19" s="244"/>
      <c r="I19" s="244"/>
      <c r="J19" s="244"/>
      <c r="K19" s="245"/>
    </row>
    <row r="20" spans="1:11" ht="15" customHeight="1" x14ac:dyDescent="0.25">
      <c r="A20" s="243"/>
      <c r="B20" s="244"/>
      <c r="C20" s="244"/>
      <c r="D20" s="244"/>
      <c r="E20" s="244"/>
      <c r="F20" s="244"/>
      <c r="G20" s="244"/>
      <c r="H20" s="244"/>
      <c r="I20" s="244"/>
      <c r="J20" s="244"/>
      <c r="K20" s="245"/>
    </row>
    <row r="21" spans="1:11" ht="15" customHeight="1" x14ac:dyDescent="0.25">
      <c r="A21" s="243"/>
      <c r="B21" s="244"/>
      <c r="C21" s="244"/>
      <c r="D21" s="244"/>
      <c r="E21" s="244"/>
      <c r="F21" s="244"/>
      <c r="G21" s="244"/>
      <c r="H21" s="244"/>
      <c r="I21" s="244"/>
      <c r="J21" s="244"/>
      <c r="K21" s="245"/>
    </row>
    <row r="22" spans="1:11" ht="15" customHeight="1" x14ac:dyDescent="0.25">
      <c r="A22" s="243"/>
      <c r="B22" s="244"/>
      <c r="C22" s="244"/>
      <c r="D22" s="244"/>
      <c r="E22" s="244"/>
      <c r="F22" s="244"/>
      <c r="G22" s="244"/>
      <c r="H22" s="244"/>
      <c r="I22" s="244"/>
      <c r="J22" s="244"/>
      <c r="K22" s="245"/>
    </row>
    <row r="23" spans="1:11" ht="15" customHeight="1" x14ac:dyDescent="0.25">
      <c r="A23" s="243"/>
      <c r="B23" s="244"/>
      <c r="C23" s="244"/>
      <c r="D23" s="244"/>
      <c r="E23" s="244"/>
      <c r="F23" s="244"/>
      <c r="G23" s="244"/>
      <c r="H23" s="244"/>
      <c r="I23" s="244"/>
      <c r="J23" s="244"/>
      <c r="K23" s="245"/>
    </row>
    <row r="24" spans="1:11" ht="15" customHeight="1" x14ac:dyDescent="0.25">
      <c r="A24" s="243"/>
      <c r="B24" s="244"/>
      <c r="C24" s="244"/>
      <c r="D24" s="244"/>
      <c r="E24" s="244"/>
      <c r="F24" s="244"/>
      <c r="G24" s="244"/>
      <c r="H24" s="244"/>
      <c r="I24" s="244"/>
      <c r="J24" s="244"/>
      <c r="K24" s="245"/>
    </row>
    <row r="25" spans="1:11" ht="15" customHeight="1" x14ac:dyDescent="0.25">
      <c r="A25" s="243"/>
      <c r="B25" s="244"/>
      <c r="C25" s="244"/>
      <c r="D25" s="244"/>
      <c r="E25" s="244"/>
      <c r="F25" s="244"/>
      <c r="G25" s="244"/>
      <c r="H25" s="244"/>
      <c r="I25" s="244"/>
      <c r="J25" s="244"/>
      <c r="K25" s="245"/>
    </row>
    <row r="26" spans="1:11" ht="15" customHeight="1" x14ac:dyDescent="0.25">
      <c r="A26" s="243"/>
      <c r="B26" s="244"/>
      <c r="C26" s="244"/>
      <c r="D26" s="244"/>
      <c r="E26" s="244"/>
      <c r="F26" s="244"/>
      <c r="G26" s="244"/>
      <c r="H26" s="244"/>
      <c r="I26" s="244"/>
      <c r="J26" s="244"/>
      <c r="K26" s="245"/>
    </row>
    <row r="27" spans="1:11" ht="15" customHeight="1" x14ac:dyDescent="0.25">
      <c r="A27" s="243"/>
      <c r="B27" s="244"/>
      <c r="C27" s="244"/>
      <c r="D27" s="244"/>
      <c r="E27" s="244"/>
      <c r="F27" s="244"/>
      <c r="G27" s="244"/>
      <c r="H27" s="244"/>
      <c r="I27" s="244"/>
      <c r="J27" s="244"/>
      <c r="K27" s="245"/>
    </row>
    <row r="28" spans="1:11" ht="15" customHeight="1" x14ac:dyDescent="0.25">
      <c r="A28" s="243"/>
      <c r="B28" s="244"/>
      <c r="C28" s="244"/>
      <c r="D28" s="244"/>
      <c r="E28" s="244"/>
      <c r="F28" s="244"/>
      <c r="G28" s="244"/>
      <c r="H28" s="244"/>
      <c r="I28" s="244"/>
      <c r="J28" s="244"/>
      <c r="K28" s="245"/>
    </row>
    <row r="29" spans="1:11" ht="15" customHeight="1" x14ac:dyDescent="0.25">
      <c r="A29" s="243"/>
      <c r="B29" s="244"/>
      <c r="C29" s="244"/>
      <c r="D29" s="244"/>
      <c r="E29" s="244"/>
      <c r="F29" s="244"/>
      <c r="G29" s="244"/>
      <c r="H29" s="244"/>
      <c r="I29" s="244"/>
      <c r="J29" s="244"/>
      <c r="K29" s="245"/>
    </row>
    <row r="30" spans="1:11" ht="15" customHeight="1" x14ac:dyDescent="0.25">
      <c r="A30" s="243"/>
      <c r="B30" s="244"/>
      <c r="C30" s="244"/>
      <c r="D30" s="244"/>
      <c r="E30" s="244"/>
      <c r="F30" s="244"/>
      <c r="G30" s="244"/>
      <c r="H30" s="244"/>
      <c r="I30" s="244"/>
      <c r="J30" s="244"/>
      <c r="K30" s="245"/>
    </row>
    <row r="31" spans="1:11" ht="15" customHeight="1" x14ac:dyDescent="0.25">
      <c r="A31" s="243"/>
      <c r="B31" s="244"/>
      <c r="C31" s="244"/>
      <c r="D31" s="244"/>
      <c r="E31" s="244"/>
      <c r="F31" s="244"/>
      <c r="G31" s="244"/>
      <c r="H31" s="244"/>
      <c r="I31" s="244"/>
      <c r="J31" s="244"/>
      <c r="K31" s="245"/>
    </row>
    <row r="32" spans="1:11" ht="15" customHeight="1" x14ac:dyDescent="0.25">
      <c r="A32" s="243"/>
      <c r="B32" s="244"/>
      <c r="C32" s="244"/>
      <c r="D32" s="244"/>
      <c r="E32" s="244"/>
      <c r="F32" s="244"/>
      <c r="G32" s="244"/>
      <c r="H32" s="244"/>
      <c r="I32" s="244"/>
      <c r="J32" s="244"/>
      <c r="K32" s="245"/>
    </row>
    <row r="33" spans="1:11" ht="15" customHeight="1" x14ac:dyDescent="0.25">
      <c r="A33" s="243"/>
      <c r="B33" s="244"/>
      <c r="C33" s="244"/>
      <c r="D33" s="244"/>
      <c r="E33" s="244"/>
      <c r="F33" s="244"/>
      <c r="G33" s="244"/>
      <c r="H33" s="244"/>
      <c r="I33" s="244"/>
      <c r="J33" s="244"/>
      <c r="K33" s="245"/>
    </row>
    <row r="34" spans="1:11" ht="15" customHeight="1" x14ac:dyDescent="0.25">
      <c r="A34" s="243"/>
      <c r="B34" s="244"/>
      <c r="C34" s="244"/>
      <c r="D34" s="244"/>
      <c r="E34" s="244"/>
      <c r="F34" s="244"/>
      <c r="G34" s="244"/>
      <c r="H34" s="244"/>
      <c r="I34" s="244"/>
      <c r="J34" s="244"/>
      <c r="K34" s="245"/>
    </row>
    <row r="35" spans="1:11" ht="15" customHeight="1" x14ac:dyDescent="0.25">
      <c r="A35" s="243"/>
      <c r="B35" s="244"/>
      <c r="C35" s="244"/>
      <c r="D35" s="244"/>
      <c r="E35" s="244"/>
      <c r="F35" s="244"/>
      <c r="G35" s="244"/>
      <c r="H35" s="244"/>
      <c r="I35" s="244"/>
      <c r="J35" s="244"/>
      <c r="K35" s="245"/>
    </row>
    <row r="36" spans="1:11" ht="15" customHeight="1" x14ac:dyDescent="0.25">
      <c r="A36" s="243"/>
      <c r="B36" s="244"/>
      <c r="C36" s="244"/>
      <c r="D36" s="244"/>
      <c r="E36" s="244"/>
      <c r="F36" s="244"/>
      <c r="G36" s="244"/>
      <c r="H36" s="244"/>
      <c r="I36" s="244"/>
      <c r="J36" s="244"/>
      <c r="K36" s="245"/>
    </row>
    <row r="37" spans="1:11" ht="15" customHeight="1" x14ac:dyDescent="0.25">
      <c r="A37" s="243"/>
      <c r="B37" s="244"/>
      <c r="C37" s="244"/>
      <c r="D37" s="244"/>
      <c r="E37" s="244"/>
      <c r="F37" s="244"/>
      <c r="G37" s="244"/>
      <c r="H37" s="244"/>
      <c r="I37" s="244"/>
      <c r="J37" s="244"/>
      <c r="K37" s="245"/>
    </row>
    <row r="38" spans="1:11" ht="15" customHeight="1" x14ac:dyDescent="0.25">
      <c r="A38" s="243"/>
      <c r="B38" s="244"/>
      <c r="C38" s="244"/>
      <c r="D38" s="244"/>
      <c r="E38" s="244"/>
      <c r="F38" s="244"/>
      <c r="G38" s="244"/>
      <c r="H38" s="244"/>
      <c r="I38" s="244"/>
      <c r="J38" s="244"/>
      <c r="K38" s="245"/>
    </row>
    <row r="39" spans="1:11" ht="15" customHeight="1" thickBot="1" x14ac:dyDescent="0.3">
      <c r="A39" s="246"/>
      <c r="B39" s="247"/>
      <c r="C39" s="247"/>
      <c r="D39" s="247"/>
      <c r="E39" s="247"/>
      <c r="F39" s="247"/>
      <c r="G39" s="247"/>
      <c r="H39" s="247"/>
      <c r="I39" s="247"/>
      <c r="J39" s="247"/>
      <c r="K39" s="248"/>
    </row>
  </sheetData>
  <sheetProtection algorithmName="SHA-512" hashValue="IJH9TMyMmWYXaizYDmjB2m6+RpokjaTPudvWTVn0LqmEvWL10caYce9PEKHFqzqmnfTpVGdJQonNtSmq/STR1A==" saltValue="1JOkdZtMPTpHZMOndJXeAg==" spinCount="100000" sheet="1" objects="1" scenarios="1"/>
  <mergeCells count="2">
    <mergeCell ref="A9:K9"/>
    <mergeCell ref="A11:K39"/>
  </mergeCells>
  <pageMargins left="0.7" right="0.7" top="0.75" bottom="0.75" header="0.3" footer="0.3"/>
  <pageSetup scale="8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90DDE-0765-459B-B6F0-A5433334AB26}">
  <sheetPr>
    <pageSetUpPr fitToPage="1"/>
  </sheetPr>
  <dimension ref="A1:K27"/>
  <sheetViews>
    <sheetView workbookViewId="0">
      <selection activeCell="N10" sqref="N10"/>
    </sheetView>
  </sheetViews>
  <sheetFormatPr defaultRowHeight="15" x14ac:dyDescent="0.25"/>
  <cols>
    <col min="1" max="1" width="8" style="138" bestFit="1" customWidth="1"/>
    <col min="2" max="16384" width="9.140625" style="138"/>
  </cols>
  <sheetData>
    <row r="1" spans="1:11" ht="24.75" thickBot="1" x14ac:dyDescent="0.45">
      <c r="A1" s="249" t="s">
        <v>652</v>
      </c>
      <c r="B1" s="249"/>
      <c r="C1" s="249"/>
      <c r="D1" s="249"/>
      <c r="E1" s="249"/>
      <c r="F1" s="249"/>
      <c r="G1" s="249"/>
      <c r="H1" s="249"/>
      <c r="I1" s="249"/>
      <c r="J1" s="249"/>
      <c r="K1" s="249"/>
    </row>
    <row r="2" spans="1:11" x14ac:dyDescent="0.25">
      <c r="A2" s="253" t="s">
        <v>653</v>
      </c>
      <c r="B2" s="250" t="s">
        <v>697</v>
      </c>
      <c r="C2" s="250"/>
      <c r="D2" s="250"/>
      <c r="E2" s="250"/>
      <c r="F2" s="250"/>
      <c r="G2" s="250"/>
      <c r="H2" s="250"/>
      <c r="I2" s="250"/>
      <c r="J2" s="250"/>
      <c r="K2" s="250"/>
    </row>
    <row r="3" spans="1:11" x14ac:dyDescent="0.25">
      <c r="A3" s="263"/>
      <c r="B3" s="238"/>
      <c r="C3" s="238"/>
      <c r="D3" s="238"/>
      <c r="E3" s="238"/>
      <c r="F3" s="238"/>
      <c r="G3" s="238"/>
      <c r="H3" s="238"/>
      <c r="I3" s="238"/>
      <c r="J3" s="238"/>
      <c r="K3" s="238"/>
    </row>
    <row r="4" spans="1:11" x14ac:dyDescent="0.25">
      <c r="A4" s="263"/>
      <c r="B4" s="238"/>
      <c r="C4" s="238"/>
      <c r="D4" s="238"/>
      <c r="E4" s="238"/>
      <c r="F4" s="238"/>
      <c r="G4" s="238"/>
      <c r="H4" s="238"/>
      <c r="I4" s="238"/>
      <c r="J4" s="238"/>
      <c r="K4" s="238"/>
    </row>
    <row r="5" spans="1:11" x14ac:dyDescent="0.25">
      <c r="A5" s="263"/>
      <c r="B5" s="238"/>
      <c r="C5" s="238"/>
      <c r="D5" s="238"/>
      <c r="E5" s="238"/>
      <c r="F5" s="238"/>
      <c r="G5" s="238"/>
      <c r="H5" s="238"/>
      <c r="I5" s="238"/>
      <c r="J5" s="238"/>
      <c r="K5" s="238"/>
    </row>
    <row r="6" spans="1:11" x14ac:dyDescent="0.25">
      <c r="A6" s="263"/>
      <c r="B6" s="238"/>
      <c r="C6" s="238"/>
      <c r="D6" s="238"/>
      <c r="E6" s="238"/>
      <c r="F6" s="238"/>
      <c r="G6" s="238"/>
      <c r="H6" s="238"/>
      <c r="I6" s="238"/>
      <c r="J6" s="238"/>
      <c r="K6" s="238"/>
    </row>
    <row r="7" spans="1:11" x14ac:dyDescent="0.25">
      <c r="A7" s="263"/>
      <c r="B7" s="238"/>
      <c r="C7" s="238"/>
      <c r="D7" s="238"/>
      <c r="E7" s="238"/>
      <c r="F7" s="238"/>
      <c r="G7" s="238"/>
      <c r="H7" s="238"/>
      <c r="I7" s="238"/>
      <c r="J7" s="238"/>
      <c r="K7" s="238"/>
    </row>
    <row r="8" spans="1:11" x14ac:dyDescent="0.25">
      <c r="A8" s="263"/>
      <c r="B8" s="238"/>
      <c r="C8" s="238"/>
      <c r="D8" s="238"/>
      <c r="E8" s="238"/>
      <c r="F8" s="238"/>
      <c r="G8" s="238"/>
      <c r="H8" s="238"/>
      <c r="I8" s="238"/>
      <c r="J8" s="238"/>
      <c r="K8" s="238"/>
    </row>
    <row r="9" spans="1:11" ht="15.75" thickBot="1" x14ac:dyDescent="0.3">
      <c r="A9" s="263"/>
      <c r="B9" s="238"/>
      <c r="C9" s="238"/>
      <c r="D9" s="238"/>
      <c r="E9" s="238"/>
      <c r="F9" s="238"/>
      <c r="G9" s="238"/>
      <c r="H9" s="238"/>
      <c r="I9" s="238"/>
      <c r="J9" s="238"/>
      <c r="K9" s="238"/>
    </row>
    <row r="10" spans="1:11" x14ac:dyDescent="0.25">
      <c r="A10" s="259" t="s">
        <v>654</v>
      </c>
      <c r="B10" s="251" t="s">
        <v>698</v>
      </c>
      <c r="C10" s="251"/>
      <c r="D10" s="251"/>
      <c r="E10" s="251"/>
      <c r="F10" s="251"/>
      <c r="G10" s="251"/>
      <c r="H10" s="251"/>
      <c r="I10" s="251"/>
      <c r="J10" s="251"/>
      <c r="K10" s="251"/>
    </row>
    <row r="11" spans="1:11" x14ac:dyDescent="0.25">
      <c r="A11" s="260"/>
      <c r="B11" s="238"/>
      <c r="C11" s="238"/>
      <c r="D11" s="238"/>
      <c r="E11" s="238"/>
      <c r="F11" s="238"/>
      <c r="G11" s="238"/>
      <c r="H11" s="238"/>
      <c r="I11" s="238"/>
      <c r="J11" s="238"/>
      <c r="K11" s="238"/>
    </row>
    <row r="12" spans="1:11" x14ac:dyDescent="0.25">
      <c r="A12" s="260"/>
      <c r="B12" s="238"/>
      <c r="C12" s="238"/>
      <c r="D12" s="238"/>
      <c r="E12" s="238"/>
      <c r="F12" s="238"/>
      <c r="G12" s="238"/>
      <c r="H12" s="238"/>
      <c r="I12" s="238"/>
      <c r="J12" s="238"/>
      <c r="K12" s="238"/>
    </row>
    <row r="13" spans="1:11" x14ac:dyDescent="0.25">
      <c r="A13" s="261"/>
      <c r="B13" s="238"/>
      <c r="C13" s="238"/>
      <c r="D13" s="238"/>
      <c r="E13" s="238"/>
      <c r="F13" s="238"/>
      <c r="G13" s="238"/>
      <c r="H13" s="238"/>
      <c r="I13" s="238"/>
      <c r="J13" s="238"/>
      <c r="K13" s="238"/>
    </row>
    <row r="14" spans="1:11" x14ac:dyDescent="0.25">
      <c r="A14" s="261"/>
      <c r="B14" s="238"/>
      <c r="C14" s="238"/>
      <c r="D14" s="238"/>
      <c r="E14" s="238"/>
      <c r="F14" s="238"/>
      <c r="G14" s="238"/>
      <c r="H14" s="238"/>
      <c r="I14" s="238"/>
      <c r="J14" s="238"/>
      <c r="K14" s="238"/>
    </row>
    <row r="15" spans="1:11" x14ac:dyDescent="0.25">
      <c r="A15" s="261"/>
      <c r="B15" s="238"/>
      <c r="C15" s="238"/>
      <c r="D15" s="238"/>
      <c r="E15" s="238"/>
      <c r="F15" s="238"/>
      <c r="G15" s="238"/>
      <c r="H15" s="238"/>
      <c r="I15" s="238"/>
      <c r="J15" s="238"/>
      <c r="K15" s="238"/>
    </row>
    <row r="16" spans="1:11" x14ac:dyDescent="0.25">
      <c r="A16" s="261"/>
      <c r="B16" s="238"/>
      <c r="C16" s="238"/>
      <c r="D16" s="238"/>
      <c r="E16" s="238"/>
      <c r="F16" s="238"/>
      <c r="G16" s="238"/>
      <c r="H16" s="238"/>
      <c r="I16" s="238"/>
      <c r="J16" s="238"/>
      <c r="K16" s="238"/>
    </row>
    <row r="17" spans="1:11" x14ac:dyDescent="0.25">
      <c r="A17" s="261"/>
      <c r="B17" s="238"/>
      <c r="C17" s="238"/>
      <c r="D17" s="238"/>
      <c r="E17" s="238"/>
      <c r="F17" s="238"/>
      <c r="G17" s="238"/>
      <c r="H17" s="238"/>
      <c r="I17" s="238"/>
      <c r="J17" s="238"/>
      <c r="K17" s="238"/>
    </row>
    <row r="18" spans="1:11" x14ac:dyDescent="0.25">
      <c r="A18" s="261"/>
      <c r="B18" s="238"/>
      <c r="C18" s="238"/>
      <c r="D18" s="238"/>
      <c r="E18" s="238"/>
      <c r="F18" s="238"/>
      <c r="G18" s="238"/>
      <c r="H18" s="238"/>
      <c r="I18" s="238"/>
      <c r="J18" s="238"/>
      <c r="K18" s="238"/>
    </row>
    <row r="19" spans="1:11" x14ac:dyDescent="0.25">
      <c r="A19" s="261"/>
      <c r="B19" s="238"/>
      <c r="C19" s="238"/>
      <c r="D19" s="238"/>
      <c r="E19" s="238"/>
      <c r="F19" s="238"/>
      <c r="G19" s="238"/>
      <c r="H19" s="238"/>
      <c r="I19" s="238"/>
      <c r="J19" s="238"/>
      <c r="K19" s="238"/>
    </row>
    <row r="20" spans="1:11" x14ac:dyDescent="0.25">
      <c r="A20" s="261"/>
      <c r="B20" s="238"/>
      <c r="C20" s="238"/>
      <c r="D20" s="238"/>
      <c r="E20" s="238"/>
      <c r="F20" s="238"/>
      <c r="G20" s="238"/>
      <c r="H20" s="238"/>
      <c r="I20" s="238"/>
      <c r="J20" s="238"/>
      <c r="K20" s="238"/>
    </row>
    <row r="21" spans="1:11" ht="15.75" thickBot="1" x14ac:dyDescent="0.3">
      <c r="A21" s="262"/>
      <c r="B21" s="252"/>
      <c r="C21" s="252"/>
      <c r="D21" s="252"/>
      <c r="E21" s="252"/>
      <c r="F21" s="252"/>
      <c r="G21" s="252"/>
      <c r="H21" s="252"/>
      <c r="I21" s="252"/>
      <c r="J21" s="252"/>
      <c r="K21" s="252"/>
    </row>
    <row r="22" spans="1:11" x14ac:dyDescent="0.25">
      <c r="A22" s="253" t="s">
        <v>699</v>
      </c>
      <c r="B22" s="250" t="s">
        <v>700</v>
      </c>
      <c r="C22" s="256"/>
      <c r="D22" s="256"/>
      <c r="E22" s="256"/>
      <c r="F22" s="256"/>
      <c r="G22" s="256"/>
      <c r="H22" s="256"/>
      <c r="I22" s="256"/>
      <c r="J22" s="256"/>
      <c r="K22" s="256"/>
    </row>
    <row r="23" spans="1:11" x14ac:dyDescent="0.25">
      <c r="A23" s="254"/>
      <c r="B23" s="257"/>
      <c r="C23" s="257"/>
      <c r="D23" s="257"/>
      <c r="E23" s="257"/>
      <c r="F23" s="257"/>
      <c r="G23" s="257"/>
      <c r="H23" s="257"/>
      <c r="I23" s="257"/>
      <c r="J23" s="257"/>
      <c r="K23" s="257"/>
    </row>
    <row r="24" spans="1:11" x14ac:dyDescent="0.25">
      <c r="A24" s="254"/>
      <c r="B24" s="257"/>
      <c r="C24" s="257"/>
      <c r="D24" s="257"/>
      <c r="E24" s="257"/>
      <c r="F24" s="257"/>
      <c r="G24" s="257"/>
      <c r="H24" s="257"/>
      <c r="I24" s="257"/>
      <c r="J24" s="257"/>
      <c r="K24" s="257"/>
    </row>
    <row r="25" spans="1:11" x14ac:dyDescent="0.25">
      <c r="A25" s="254"/>
      <c r="B25" s="257"/>
      <c r="C25" s="257"/>
      <c r="D25" s="257"/>
      <c r="E25" s="257"/>
      <c r="F25" s="257"/>
      <c r="G25" s="257"/>
      <c r="H25" s="257"/>
      <c r="I25" s="257"/>
      <c r="J25" s="257"/>
      <c r="K25" s="257"/>
    </row>
    <row r="26" spans="1:11" x14ac:dyDescent="0.25">
      <c r="A26" s="254"/>
      <c r="B26" s="257"/>
      <c r="C26" s="257"/>
      <c r="D26" s="257"/>
      <c r="E26" s="257"/>
      <c r="F26" s="257"/>
      <c r="G26" s="257"/>
      <c r="H26" s="257"/>
      <c r="I26" s="257"/>
      <c r="J26" s="257"/>
      <c r="K26" s="257"/>
    </row>
    <row r="27" spans="1:11" ht="15.75" thickBot="1" x14ac:dyDescent="0.3">
      <c r="A27" s="255"/>
      <c r="B27" s="258"/>
      <c r="C27" s="258"/>
      <c r="D27" s="258"/>
      <c r="E27" s="258"/>
      <c r="F27" s="258"/>
      <c r="G27" s="258"/>
      <c r="H27" s="258"/>
      <c r="I27" s="258"/>
      <c r="J27" s="258"/>
      <c r="K27" s="258"/>
    </row>
  </sheetData>
  <sheetProtection algorithmName="SHA-512" hashValue="mY45BeHIRT3Cw3iVlz7nCiHqO0dB3b3XDWFzEj4ykW0G0gHkWxH0dPLM9aeW3VIiWeTmz2XZjUf+5rP2riMglw==" saltValue="4D5MZZsJsX9fH5/yLcSGGQ==" spinCount="100000" sheet="1" objects="1" scenarios="1"/>
  <mergeCells count="7">
    <mergeCell ref="A1:K1"/>
    <mergeCell ref="B2:K9"/>
    <mergeCell ref="B10:K21"/>
    <mergeCell ref="A22:A27"/>
    <mergeCell ref="B22:K27"/>
    <mergeCell ref="A10:A21"/>
    <mergeCell ref="A2:A9"/>
  </mergeCells>
  <pageMargins left="0.7" right="0.7" top="0.75" bottom="0.75" header="0.3" footer="0.3"/>
  <pageSetup scale="9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E213A-2891-499B-933F-5EF88F01CD76}">
  <sheetPr>
    <tabColor rgb="FF7030A0"/>
    <pageSetUpPr fitToPage="1"/>
  </sheetPr>
  <dimension ref="A1:T33"/>
  <sheetViews>
    <sheetView tabSelected="1" workbookViewId="0">
      <selection activeCell="I6" sqref="I6"/>
    </sheetView>
  </sheetViews>
  <sheetFormatPr defaultRowHeight="15" x14ac:dyDescent="0.25"/>
  <cols>
    <col min="1" max="1" width="2.7109375" customWidth="1"/>
    <col min="6" max="6" width="2.7109375" customWidth="1"/>
    <col min="7" max="7" width="35.7109375" customWidth="1"/>
    <col min="8" max="8" width="2.7109375" customWidth="1"/>
    <col min="9" max="9" width="35.7109375" customWidth="1"/>
    <col min="10" max="11" width="2.7109375" customWidth="1"/>
    <col min="16" max="16" width="2.7109375" customWidth="1"/>
    <col min="17" max="17" width="25.7109375" customWidth="1"/>
    <col min="18" max="18" width="2.7109375" customWidth="1"/>
    <col min="19" max="19" width="25.7109375" customWidth="1"/>
    <col min="20" max="20" width="2.7109375" customWidth="1"/>
  </cols>
  <sheetData>
    <row r="1" spans="1:20" ht="21.75" thickBot="1" x14ac:dyDescent="0.4">
      <c r="A1" s="277" t="s">
        <v>688</v>
      </c>
      <c r="B1" s="278"/>
      <c r="C1" s="278"/>
      <c r="D1" s="278"/>
      <c r="E1" s="278"/>
      <c r="F1" s="278"/>
      <c r="G1" s="278"/>
      <c r="H1" s="278"/>
      <c r="I1" s="278"/>
      <c r="J1" s="278"/>
      <c r="K1" s="278"/>
      <c r="L1" s="278"/>
      <c r="M1" s="278"/>
      <c r="N1" s="278"/>
      <c r="O1" s="278"/>
      <c r="P1" s="278"/>
      <c r="Q1" s="278"/>
      <c r="R1" s="278"/>
      <c r="S1" s="278"/>
      <c r="T1" s="279"/>
    </row>
    <row r="2" spans="1:20" x14ac:dyDescent="0.25">
      <c r="A2" s="139"/>
      <c r="B2" s="170"/>
      <c r="C2" s="170"/>
      <c r="D2" s="170"/>
      <c r="E2" s="170"/>
      <c r="F2" s="170"/>
      <c r="G2" s="265" t="s">
        <v>655</v>
      </c>
      <c r="H2" s="265"/>
      <c r="I2" s="265"/>
      <c r="J2" s="140"/>
      <c r="K2" s="198"/>
      <c r="L2" s="198"/>
      <c r="M2" s="198"/>
      <c r="N2" s="198"/>
      <c r="O2" s="198"/>
      <c r="P2" s="198"/>
      <c r="Q2" s="198"/>
      <c r="R2" s="198"/>
      <c r="S2" s="198"/>
      <c r="T2" s="199"/>
    </row>
    <row r="3" spans="1:20" ht="15.75" thickBot="1" x14ac:dyDescent="0.3">
      <c r="A3" s="139"/>
      <c r="B3" s="170"/>
      <c r="C3" s="170"/>
      <c r="D3" s="170"/>
      <c r="E3" s="170"/>
      <c r="F3" s="170"/>
      <c r="G3" s="265"/>
      <c r="H3" s="265"/>
      <c r="I3" s="265"/>
      <c r="J3" s="140"/>
      <c r="K3" s="170"/>
      <c r="L3" s="170"/>
      <c r="M3" s="170"/>
      <c r="N3" s="170"/>
      <c r="O3" s="170"/>
      <c r="P3" s="170"/>
      <c r="Q3" s="170"/>
      <c r="R3" s="170"/>
      <c r="S3" s="170"/>
      <c r="T3" s="147"/>
    </row>
    <row r="4" spans="1:20" ht="16.5" thickBot="1" x14ac:dyDescent="0.3">
      <c r="A4" s="139"/>
      <c r="B4" s="170"/>
      <c r="C4" s="170"/>
      <c r="D4" s="170"/>
      <c r="E4" s="170"/>
      <c r="F4" s="170"/>
      <c r="G4" s="265"/>
      <c r="H4" s="265"/>
      <c r="I4" s="265"/>
      <c r="J4" s="140"/>
      <c r="K4" s="139"/>
      <c r="L4" s="276" t="s">
        <v>680</v>
      </c>
      <c r="M4" s="276"/>
      <c r="N4" s="276"/>
      <c r="O4" s="276"/>
      <c r="P4" s="276"/>
      <c r="Q4" s="276"/>
      <c r="R4" s="276"/>
      <c r="S4" s="276"/>
      <c r="T4" s="151"/>
    </row>
    <row r="5" spans="1:20" ht="15.75" x14ac:dyDescent="0.25">
      <c r="A5" s="139"/>
      <c r="B5" s="266" t="s">
        <v>656</v>
      </c>
      <c r="C5" s="267"/>
      <c r="D5" s="267"/>
      <c r="E5" s="268"/>
      <c r="F5" s="170"/>
      <c r="G5" s="174" t="s">
        <v>657</v>
      </c>
      <c r="H5" s="170"/>
      <c r="I5" s="174" t="s">
        <v>658</v>
      </c>
      <c r="J5" s="141"/>
      <c r="K5" s="139"/>
      <c r="L5" s="8"/>
      <c r="M5" s="8"/>
      <c r="N5" s="8"/>
      <c r="O5" s="8"/>
      <c r="P5" s="170"/>
      <c r="Q5" s="171"/>
      <c r="R5" s="172"/>
      <c r="S5" s="173"/>
      <c r="T5" s="151"/>
    </row>
    <row r="6" spans="1:20" ht="15.75" x14ac:dyDescent="0.25">
      <c r="A6" s="139"/>
      <c r="B6" s="269"/>
      <c r="C6" s="270"/>
      <c r="D6" s="270"/>
      <c r="E6" s="271"/>
      <c r="F6" s="170"/>
      <c r="G6" s="203" t="str">
        <f>INDEX('5 Towed Implements'!$A$3:$P$389,MATCH('Tractor &amp; Imp Costs'!$I$6,'5 Towed Implements'!$A$3:$A$389,0),3)</f>
        <v>TRACTOR_MFWD_225HP_CB</v>
      </c>
      <c r="H6" s="175" t="s">
        <v>659</v>
      </c>
      <c r="I6" s="142" t="s">
        <v>107</v>
      </c>
      <c r="J6" s="143"/>
      <c r="K6" s="139"/>
      <c r="L6" s="8"/>
      <c r="M6" s="8"/>
      <c r="N6" s="8"/>
      <c r="O6" s="8"/>
      <c r="P6" s="170"/>
      <c r="Q6" s="174" t="s">
        <v>686</v>
      </c>
      <c r="R6" s="170"/>
      <c r="S6" s="174" t="s">
        <v>658</v>
      </c>
      <c r="T6" s="151"/>
    </row>
    <row r="7" spans="1:20" ht="15.75" customHeight="1" x14ac:dyDescent="0.25">
      <c r="A7" s="139"/>
      <c r="B7" s="272"/>
      <c r="C7" s="273"/>
      <c r="D7" s="273"/>
      <c r="E7" s="274"/>
      <c r="F7" s="170"/>
      <c r="G7" s="178" t="s">
        <v>660</v>
      </c>
      <c r="H7" s="170"/>
      <c r="I7" s="178" t="s">
        <v>661</v>
      </c>
      <c r="J7" s="144"/>
      <c r="K7" s="139"/>
      <c r="L7" s="264" t="s">
        <v>681</v>
      </c>
      <c r="M7" s="264"/>
      <c r="N7" s="264"/>
      <c r="O7" s="264"/>
      <c r="P7" s="177"/>
      <c r="Q7" s="202">
        <f>G24*G14</f>
        <v>0</v>
      </c>
      <c r="R7" s="172"/>
      <c r="S7" s="202">
        <f>I24*I14</f>
        <v>0</v>
      </c>
      <c r="T7" s="149"/>
    </row>
    <row r="8" spans="1:20" ht="15.75" customHeight="1" x14ac:dyDescent="0.25">
      <c r="A8" s="139"/>
      <c r="B8" s="275" t="s">
        <v>662</v>
      </c>
      <c r="C8" s="275"/>
      <c r="D8" s="275"/>
      <c r="E8" s="275"/>
      <c r="F8" s="175" t="s">
        <v>659</v>
      </c>
      <c r="G8" s="145" t="s">
        <v>540</v>
      </c>
      <c r="H8" s="170"/>
      <c r="I8" s="204">
        <f>INDEX('5 Towed Implements'!$A$3:$P$389,MATCH('Tractor &amp; Imp Costs'!$I$6,'5 Towed Implements'!$A$3:$A$389,0),16)</f>
        <v>20.408163265306122</v>
      </c>
      <c r="J8" s="146"/>
      <c r="K8" s="139"/>
      <c r="L8" s="264" t="s">
        <v>561</v>
      </c>
      <c r="M8" s="264"/>
      <c r="N8" s="264"/>
      <c r="O8" s="264"/>
      <c r="P8" s="177"/>
      <c r="Q8" s="202">
        <f>G27-Q7</f>
        <v>0</v>
      </c>
      <c r="R8" s="172"/>
      <c r="S8" s="202">
        <f>I27-S7</f>
        <v>0</v>
      </c>
      <c r="T8" s="149"/>
    </row>
    <row r="9" spans="1:20" x14ac:dyDescent="0.25">
      <c r="A9" s="139"/>
      <c r="B9" s="196"/>
      <c r="C9" s="196"/>
      <c r="D9" s="196"/>
      <c r="E9" s="196"/>
      <c r="F9" s="175"/>
      <c r="G9" s="200"/>
      <c r="H9" s="170"/>
      <c r="I9" s="201"/>
      <c r="J9" s="146"/>
      <c r="K9" s="139"/>
      <c r="L9" s="264" t="s">
        <v>563</v>
      </c>
      <c r="M9" s="264"/>
      <c r="N9" s="264"/>
      <c r="O9" s="264"/>
      <c r="P9" s="177"/>
      <c r="Q9" s="202" t="e">
        <f>((Q8*G31)+(G23*Q7))</f>
        <v>#N/A</v>
      </c>
      <c r="R9" s="172"/>
      <c r="S9" s="202" t="e">
        <f>((S8*I31)+(I23*S7))</f>
        <v>#N/A</v>
      </c>
      <c r="T9" s="149"/>
    </row>
    <row r="10" spans="1:20" ht="15.75" thickBot="1" x14ac:dyDescent="0.3">
      <c r="A10" s="139"/>
      <c r="B10" s="179"/>
      <c r="C10" s="179"/>
      <c r="D10" s="179"/>
      <c r="E10" s="179"/>
      <c r="F10" s="170"/>
      <c r="G10" s="170"/>
      <c r="H10" s="170"/>
      <c r="I10" s="170"/>
      <c r="J10" s="147"/>
      <c r="K10" s="139"/>
      <c r="L10" s="264" t="s">
        <v>566</v>
      </c>
      <c r="M10" s="264"/>
      <c r="N10" s="264"/>
      <c r="O10" s="264"/>
      <c r="P10" s="177"/>
      <c r="Q10" s="202">
        <f>(0.01*((G27+Q7)/2))</f>
        <v>0</v>
      </c>
      <c r="R10" s="172"/>
      <c r="S10" s="202">
        <f>(0.01*((I27+S7)/2))</f>
        <v>0</v>
      </c>
      <c r="T10" s="149"/>
    </row>
    <row r="11" spans="1:20" ht="17.25" customHeight="1" thickBot="1" x14ac:dyDescent="0.3">
      <c r="A11" s="139"/>
      <c r="B11" s="276" t="s">
        <v>663</v>
      </c>
      <c r="C11" s="276"/>
      <c r="D11" s="276"/>
      <c r="E11" s="276"/>
      <c r="F11" s="276"/>
      <c r="G11" s="276"/>
      <c r="H11" s="276"/>
      <c r="I11" s="276"/>
      <c r="J11" s="148"/>
      <c r="K11" s="139"/>
      <c r="L11" s="264" t="s">
        <v>568</v>
      </c>
      <c r="M11" s="264"/>
      <c r="N11" s="264"/>
      <c r="O11" s="264"/>
      <c r="P11" s="177"/>
      <c r="Q11" s="202" t="e">
        <f>Q9+Q10</f>
        <v>#N/A</v>
      </c>
      <c r="R11" s="172"/>
      <c r="S11" s="202" t="e">
        <f>S9+S10</f>
        <v>#N/A</v>
      </c>
      <c r="T11" s="149"/>
    </row>
    <row r="12" spans="1:20" ht="17.25" customHeight="1" x14ac:dyDescent="0.25">
      <c r="A12" s="139"/>
      <c r="B12" s="177"/>
      <c r="C12" s="177"/>
      <c r="D12" s="177"/>
      <c r="E12" s="177"/>
      <c r="F12" s="177"/>
      <c r="G12" s="177"/>
      <c r="H12" s="177"/>
      <c r="I12" s="177"/>
      <c r="J12" s="148"/>
      <c r="K12" s="139"/>
      <c r="L12" s="264" t="s">
        <v>570</v>
      </c>
      <c r="M12" s="264"/>
      <c r="N12" s="264"/>
      <c r="O12" s="264"/>
      <c r="P12" s="177"/>
      <c r="Q12" s="202" t="e">
        <f>Q11/G16</f>
        <v>#N/A</v>
      </c>
      <c r="R12" s="172"/>
      <c r="S12" s="202" t="e">
        <f>S11/I16</f>
        <v>#N/A</v>
      </c>
      <c r="T12" s="149"/>
    </row>
    <row r="13" spans="1:20" ht="17.25" customHeight="1" thickBot="1" x14ac:dyDescent="0.3">
      <c r="A13" s="139"/>
      <c r="B13" s="177"/>
      <c r="C13" s="177"/>
      <c r="D13" s="177"/>
      <c r="E13" s="177"/>
      <c r="F13" s="177"/>
      <c r="G13" s="174" t="s">
        <v>686</v>
      </c>
      <c r="H13" s="170"/>
      <c r="I13" s="174" t="s">
        <v>658</v>
      </c>
      <c r="J13" s="148"/>
      <c r="K13" s="139"/>
      <c r="L13" s="170"/>
      <c r="M13" s="170"/>
      <c r="N13" s="170"/>
      <c r="O13" s="170"/>
      <c r="P13" s="170"/>
      <c r="Q13" s="180"/>
      <c r="R13" s="172"/>
      <c r="S13" s="172"/>
      <c r="T13" s="160"/>
    </row>
    <row r="14" spans="1:20" ht="16.5" thickBot="1" x14ac:dyDescent="0.3">
      <c r="A14" s="139"/>
      <c r="B14" s="264" t="s">
        <v>664</v>
      </c>
      <c r="C14" s="264"/>
      <c r="D14" s="264"/>
      <c r="E14" s="264"/>
      <c r="F14" s="177"/>
      <c r="G14" s="202">
        <f>INDEX('6 Combine_Tractor_UTV'!$A$3:$L$38,MATCH('Tractor &amp; Imp Costs'!$G$6,'6 Combine_Tractor_UTV'!$A$3:$A$38,0),2)</f>
        <v>307000</v>
      </c>
      <c r="H14" s="172"/>
      <c r="I14" s="202">
        <f>INDEX('5 Towed Implements'!$A$3:$P$389,MATCH('Tractor &amp; Imp Costs'!$I$6,'5 Towed Implements'!$A$3:$A$389,0),4)</f>
        <v>114000</v>
      </c>
      <c r="J14" s="149"/>
      <c r="K14" s="139"/>
      <c r="L14" s="276" t="s">
        <v>682</v>
      </c>
      <c r="M14" s="276"/>
      <c r="N14" s="276"/>
      <c r="O14" s="276"/>
      <c r="P14" s="276"/>
      <c r="Q14" s="276"/>
      <c r="R14" s="276"/>
      <c r="S14" s="276"/>
      <c r="T14" s="160"/>
    </row>
    <row r="15" spans="1:20" x14ac:dyDescent="0.25">
      <c r="A15" s="139"/>
      <c r="B15" s="264" t="s">
        <v>665</v>
      </c>
      <c r="C15" s="264"/>
      <c r="D15" s="264"/>
      <c r="E15" s="264"/>
      <c r="F15" s="177"/>
      <c r="G15" s="205">
        <f>INDEX('6 Combine_Tractor_UTV'!$A$3:$L$38,MATCH('Tractor &amp; Imp Costs'!$G$6,'6 Combine_Tractor_UTV'!$A$3:$A$38,0),4)</f>
        <v>8</v>
      </c>
      <c r="H15" s="172"/>
      <c r="I15" s="205">
        <f>INDEX('5 Towed Implements'!$A$3:$P$389,MATCH('Tractor &amp; Imp Costs'!$I$6,'5 Towed Implements'!$A$3:$A$389,0),6)</f>
        <v>10</v>
      </c>
      <c r="J15" s="150"/>
      <c r="K15" s="139"/>
      <c r="L15" s="170"/>
      <c r="M15" s="170"/>
      <c r="N15" s="170"/>
      <c r="O15" s="170"/>
      <c r="P15" s="170"/>
      <c r="Q15" s="180"/>
      <c r="R15" s="172"/>
      <c r="S15" s="172"/>
      <c r="T15" s="160"/>
    </row>
    <row r="16" spans="1:20" ht="15.75" x14ac:dyDescent="0.25">
      <c r="A16" s="139"/>
      <c r="B16" s="264" t="s">
        <v>666</v>
      </c>
      <c r="C16" s="264"/>
      <c r="D16" s="264"/>
      <c r="E16" s="264"/>
      <c r="F16" s="177"/>
      <c r="G16" s="205">
        <f>INDEX('6 Combine_Tractor_UTV'!$A$3:$L$38,MATCH('Tractor &amp; Imp Costs'!$G$6,'6 Combine_Tractor_UTV'!$A$3:$A$38,0),3)</f>
        <v>600</v>
      </c>
      <c r="H16" s="172"/>
      <c r="I16" s="205">
        <f>INDEX('5 Towed Implements'!$A$3:$P$389,MATCH('Tractor &amp; Imp Costs'!$I$6,'5 Towed Implements'!$A$3:$A$389,0),5)</f>
        <v>160</v>
      </c>
      <c r="J16" s="150"/>
      <c r="K16" s="139"/>
      <c r="L16" s="170"/>
      <c r="M16" s="170"/>
      <c r="N16" s="170"/>
      <c r="O16" s="170"/>
      <c r="P16" s="170"/>
      <c r="Q16" s="174" t="s">
        <v>686</v>
      </c>
      <c r="R16" s="170"/>
      <c r="S16" s="174" t="s">
        <v>658</v>
      </c>
      <c r="T16" s="160"/>
    </row>
    <row r="17" spans="1:20" x14ac:dyDescent="0.25">
      <c r="A17" s="139"/>
      <c r="B17" s="264" t="s">
        <v>667</v>
      </c>
      <c r="C17" s="264"/>
      <c r="D17" s="264"/>
      <c r="E17" s="264"/>
      <c r="F17" s="177"/>
      <c r="G17" s="205">
        <f>INDEX('6 Combine_Tractor_UTV'!$A$3:$L$38,MATCH('Tractor &amp; Imp Costs'!$G$6,'6 Combine_Tractor_UTV'!$A$3:$A$38,0),12)</f>
        <v>225</v>
      </c>
      <c r="H17" s="172"/>
      <c r="I17" s="173" t="s">
        <v>204</v>
      </c>
      <c r="J17" s="151"/>
      <c r="K17" s="139"/>
      <c r="L17" s="264" t="s">
        <v>572</v>
      </c>
      <c r="M17" s="264"/>
      <c r="N17" s="264"/>
      <c r="O17" s="264"/>
      <c r="P17" s="177"/>
      <c r="Q17" s="202">
        <f>((G26-G25)*G14)</f>
        <v>0</v>
      </c>
      <c r="R17" s="172"/>
      <c r="S17" s="202">
        <f>((I26-I25)*I14)</f>
        <v>0</v>
      </c>
      <c r="T17" s="149"/>
    </row>
    <row r="18" spans="1:20" x14ac:dyDescent="0.25">
      <c r="A18" s="139"/>
      <c r="B18" s="264" t="s">
        <v>668</v>
      </c>
      <c r="C18" s="264"/>
      <c r="D18" s="264"/>
      <c r="E18" s="264"/>
      <c r="F18" s="175"/>
      <c r="G18" s="205">
        <f>((G15*G16)+G28)</f>
        <v>4800</v>
      </c>
      <c r="H18" s="172"/>
      <c r="I18" s="205">
        <f>((I15*I16)+I28)</f>
        <v>1600</v>
      </c>
      <c r="J18" s="151"/>
      <c r="K18" s="139"/>
      <c r="L18" s="264" t="s">
        <v>574</v>
      </c>
      <c r="M18" s="264"/>
      <c r="N18" s="264"/>
      <c r="O18" s="264"/>
      <c r="P18" s="177"/>
      <c r="Q18" s="202">
        <f>(Q17/(G18-G28))</f>
        <v>0</v>
      </c>
      <c r="R18" s="172"/>
      <c r="S18" s="202">
        <f>(S17/(I18-I28))</f>
        <v>0</v>
      </c>
      <c r="T18" s="149"/>
    </row>
    <row r="19" spans="1:20" ht="15.75" thickBot="1" x14ac:dyDescent="0.3">
      <c r="A19" s="139"/>
      <c r="B19" s="8"/>
      <c r="C19" s="8"/>
      <c r="D19" s="8"/>
      <c r="E19" s="8"/>
      <c r="F19" s="170"/>
      <c r="G19" s="152"/>
      <c r="H19" s="172"/>
      <c r="I19" s="173"/>
      <c r="J19" s="151"/>
      <c r="K19" s="139"/>
      <c r="L19" s="264" t="s">
        <v>576</v>
      </c>
      <c r="M19" s="264"/>
      <c r="N19" s="264"/>
      <c r="O19" s="264"/>
      <c r="P19" s="177"/>
      <c r="Q19" s="202">
        <f>IF(G8="Diesel",(0.044*G17*G29),(0.06*G17*G29))</f>
        <v>0</v>
      </c>
      <c r="R19" s="172"/>
      <c r="S19" s="173" t="s">
        <v>204</v>
      </c>
      <c r="T19" s="151"/>
    </row>
    <row r="20" spans="1:20" ht="16.5" thickBot="1" x14ac:dyDescent="0.3">
      <c r="A20" s="139"/>
      <c r="B20" s="276" t="s">
        <v>669</v>
      </c>
      <c r="C20" s="276"/>
      <c r="D20" s="276"/>
      <c r="E20" s="276"/>
      <c r="F20" s="276"/>
      <c r="G20" s="276"/>
      <c r="H20" s="276"/>
      <c r="I20" s="276"/>
      <c r="J20" s="153"/>
      <c r="K20" s="139"/>
      <c r="L20" s="264" t="s">
        <v>582</v>
      </c>
      <c r="M20" s="264"/>
      <c r="N20" s="264"/>
      <c r="O20" s="264"/>
      <c r="P20" s="177"/>
      <c r="Q20" s="202">
        <f>0.15*Q19</f>
        <v>0</v>
      </c>
      <c r="R20" s="172"/>
      <c r="S20" s="173" t="s">
        <v>204</v>
      </c>
      <c r="T20" s="151"/>
    </row>
    <row r="21" spans="1:20" ht="15.75" x14ac:dyDescent="0.25">
      <c r="A21" s="139"/>
      <c r="B21" s="181"/>
      <c r="C21" s="181"/>
      <c r="D21" s="181"/>
      <c r="E21" s="181"/>
      <c r="F21" s="170"/>
      <c r="G21" s="170"/>
      <c r="H21" s="170"/>
      <c r="I21" s="170"/>
      <c r="J21" s="147"/>
      <c r="K21" s="139"/>
      <c r="L21" s="264" t="s">
        <v>584</v>
      </c>
      <c r="M21" s="264"/>
      <c r="N21" s="264"/>
      <c r="O21" s="264"/>
      <c r="P21" s="177"/>
      <c r="Q21" s="202">
        <f>1.1*G30</f>
        <v>0</v>
      </c>
      <c r="R21" s="172"/>
      <c r="S21" s="173" t="s">
        <v>204</v>
      </c>
      <c r="T21" s="151"/>
    </row>
    <row r="22" spans="1:20" ht="15.75" x14ac:dyDescent="0.25">
      <c r="A22" s="139"/>
      <c r="B22" s="181"/>
      <c r="C22" s="181"/>
      <c r="D22" s="181"/>
      <c r="E22" s="181"/>
      <c r="F22" s="170"/>
      <c r="G22" s="174" t="s">
        <v>686</v>
      </c>
      <c r="H22" s="170"/>
      <c r="I22" s="174" t="s">
        <v>658</v>
      </c>
      <c r="J22" s="147"/>
      <c r="K22" s="139"/>
      <c r="L22" s="264" t="s">
        <v>586</v>
      </c>
      <c r="M22" s="264"/>
      <c r="N22" s="264"/>
      <c r="O22" s="264"/>
      <c r="P22" s="177"/>
      <c r="Q22" s="202">
        <f>Q18+Q19+Q20+Q21</f>
        <v>0</v>
      </c>
      <c r="R22" s="161"/>
      <c r="S22" s="202">
        <f>S18</f>
        <v>0</v>
      </c>
      <c r="T22" s="149"/>
    </row>
    <row r="23" spans="1:20" ht="15.75" thickBot="1" x14ac:dyDescent="0.3">
      <c r="A23" s="139"/>
      <c r="B23" s="264" t="s">
        <v>679</v>
      </c>
      <c r="C23" s="264"/>
      <c r="D23" s="264"/>
      <c r="E23" s="264"/>
      <c r="F23" s="175" t="s">
        <v>659</v>
      </c>
      <c r="G23" s="154">
        <v>0</v>
      </c>
      <c r="H23" s="175" t="s">
        <v>659</v>
      </c>
      <c r="I23" s="154">
        <v>0</v>
      </c>
      <c r="J23" s="155"/>
      <c r="K23" s="139"/>
      <c r="L23" s="170"/>
      <c r="M23" s="170"/>
      <c r="N23" s="170"/>
      <c r="O23" s="170"/>
      <c r="P23" s="170"/>
      <c r="Q23" s="182"/>
      <c r="R23" s="182"/>
      <c r="S23" s="182"/>
      <c r="T23" s="162"/>
    </row>
    <row r="24" spans="1:20" ht="16.5" thickBot="1" x14ac:dyDescent="0.3">
      <c r="A24" s="139"/>
      <c r="B24" s="264" t="s">
        <v>670</v>
      </c>
      <c r="C24" s="264"/>
      <c r="D24" s="264"/>
      <c r="E24" s="264"/>
      <c r="F24" s="175" t="s">
        <v>659</v>
      </c>
      <c r="G24" s="154">
        <v>0</v>
      </c>
      <c r="H24" s="175" t="s">
        <v>659</v>
      </c>
      <c r="I24" s="154">
        <v>0</v>
      </c>
      <c r="J24" s="155"/>
      <c r="K24" s="139"/>
      <c r="L24" s="276" t="s">
        <v>683</v>
      </c>
      <c r="M24" s="276"/>
      <c r="N24" s="276"/>
      <c r="O24" s="276"/>
      <c r="P24" s="276"/>
      <c r="Q24" s="276"/>
      <c r="R24" s="276"/>
      <c r="S24" s="276"/>
      <c r="T24" s="162"/>
    </row>
    <row r="25" spans="1:20" x14ac:dyDescent="0.25">
      <c r="A25" s="139"/>
      <c r="B25" s="264" t="s">
        <v>671</v>
      </c>
      <c r="C25" s="264"/>
      <c r="D25" s="264"/>
      <c r="E25" s="264"/>
      <c r="F25" s="175" t="s">
        <v>659</v>
      </c>
      <c r="G25" s="154">
        <v>0</v>
      </c>
      <c r="H25" s="175" t="s">
        <v>659</v>
      </c>
      <c r="I25" s="154">
        <v>0</v>
      </c>
      <c r="J25" s="155"/>
      <c r="K25" s="139"/>
      <c r="L25" s="170"/>
      <c r="M25" s="170"/>
      <c r="N25" s="170"/>
      <c r="O25" s="170"/>
      <c r="P25" s="170"/>
      <c r="Q25" s="182"/>
      <c r="R25" s="182"/>
      <c r="S25" s="182"/>
      <c r="T25" s="162"/>
    </row>
    <row r="26" spans="1:20" ht="15.75" x14ac:dyDescent="0.25">
      <c r="A26" s="139"/>
      <c r="B26" s="264" t="s">
        <v>672</v>
      </c>
      <c r="C26" s="264"/>
      <c r="D26" s="264"/>
      <c r="E26" s="264"/>
      <c r="F26" s="175" t="s">
        <v>659</v>
      </c>
      <c r="G26" s="154">
        <v>0</v>
      </c>
      <c r="H26" s="175" t="s">
        <v>659</v>
      </c>
      <c r="I26" s="154">
        <v>0</v>
      </c>
      <c r="J26" s="155"/>
      <c r="K26" s="139"/>
      <c r="L26" s="170"/>
      <c r="M26" s="170"/>
      <c r="N26" s="170"/>
      <c r="O26" s="170"/>
      <c r="P26" s="170"/>
      <c r="Q26" s="174" t="s">
        <v>686</v>
      </c>
      <c r="R26" s="170"/>
      <c r="S26" s="174" t="s">
        <v>658</v>
      </c>
      <c r="T26" s="162"/>
    </row>
    <row r="27" spans="1:20" ht="15.75" x14ac:dyDescent="0.25">
      <c r="A27" s="139"/>
      <c r="B27" s="264" t="s">
        <v>673</v>
      </c>
      <c r="C27" s="264"/>
      <c r="D27" s="264"/>
      <c r="E27" s="264"/>
      <c r="F27" s="175" t="s">
        <v>659</v>
      </c>
      <c r="G27" s="156">
        <v>0</v>
      </c>
      <c r="H27" s="175" t="s">
        <v>659</v>
      </c>
      <c r="I27" s="156">
        <v>0</v>
      </c>
      <c r="J27" s="157"/>
      <c r="K27" s="139"/>
      <c r="L27" s="264" t="s">
        <v>684</v>
      </c>
      <c r="M27" s="264"/>
      <c r="N27" s="264"/>
      <c r="O27" s="264"/>
      <c r="P27" s="183"/>
      <c r="Q27" s="202" t="e">
        <f>Q12+Q22</f>
        <v>#N/A</v>
      </c>
      <c r="R27" s="172"/>
      <c r="S27" s="202" t="e">
        <f>S12+S22</f>
        <v>#N/A</v>
      </c>
      <c r="T27" s="163"/>
    </row>
    <row r="28" spans="1:20" x14ac:dyDescent="0.25">
      <c r="A28" s="139"/>
      <c r="B28" s="264" t="s">
        <v>674</v>
      </c>
      <c r="C28" s="264"/>
      <c r="D28" s="264"/>
      <c r="E28" s="264"/>
      <c r="F28" s="175" t="s">
        <v>659</v>
      </c>
      <c r="G28" s="158">
        <v>0</v>
      </c>
      <c r="H28" s="175" t="s">
        <v>659</v>
      </c>
      <c r="I28" s="158">
        <v>0</v>
      </c>
      <c r="J28" s="159"/>
      <c r="K28" s="139"/>
      <c r="L28" s="176"/>
      <c r="M28" s="176"/>
      <c r="N28" s="176"/>
      <c r="O28" s="176"/>
      <c r="P28" s="8"/>
      <c r="Q28" s="172"/>
      <c r="R28" s="172"/>
      <c r="S28" s="172"/>
      <c r="T28" s="160"/>
    </row>
    <row r="29" spans="1:20" ht="15.75" x14ac:dyDescent="0.25">
      <c r="A29" s="139"/>
      <c r="B29" s="264" t="s">
        <v>675</v>
      </c>
      <c r="C29" s="264"/>
      <c r="D29" s="264"/>
      <c r="E29" s="264"/>
      <c r="F29" s="175" t="s">
        <v>659</v>
      </c>
      <c r="G29" s="156">
        <v>0</v>
      </c>
      <c r="H29" s="184"/>
      <c r="I29" s="173" t="s">
        <v>204</v>
      </c>
      <c r="J29" s="151"/>
      <c r="K29" s="139"/>
      <c r="L29" s="264" t="s">
        <v>685</v>
      </c>
      <c r="M29" s="264"/>
      <c r="N29" s="264"/>
      <c r="O29" s="264"/>
      <c r="P29" s="183"/>
      <c r="Q29" s="284" t="e">
        <f>Q27+S27</f>
        <v>#N/A</v>
      </c>
      <c r="R29" s="285"/>
      <c r="S29" s="286"/>
      <c r="T29" s="164"/>
    </row>
    <row r="30" spans="1:20" x14ac:dyDescent="0.25">
      <c r="A30" s="139"/>
      <c r="B30" s="264" t="s">
        <v>676</v>
      </c>
      <c r="C30" s="264"/>
      <c r="D30" s="264"/>
      <c r="E30" s="264"/>
      <c r="F30" s="175" t="s">
        <v>659</v>
      </c>
      <c r="G30" s="156">
        <v>0</v>
      </c>
      <c r="H30" s="184"/>
      <c r="I30" s="173" t="s">
        <v>204</v>
      </c>
      <c r="J30" s="151"/>
      <c r="K30" s="139"/>
      <c r="L30" s="176"/>
      <c r="M30" s="176"/>
      <c r="N30" s="176"/>
      <c r="O30" s="176"/>
      <c r="P30" s="8"/>
      <c r="Q30" s="185"/>
      <c r="R30" s="185"/>
      <c r="S30" s="185"/>
      <c r="T30" s="165"/>
    </row>
    <row r="31" spans="1:20" x14ac:dyDescent="0.25">
      <c r="A31" s="139"/>
      <c r="B31" s="264" t="s">
        <v>677</v>
      </c>
      <c r="C31" s="264"/>
      <c r="D31" s="264"/>
      <c r="E31" s="264"/>
      <c r="F31" s="177"/>
      <c r="G31" s="206" t="e">
        <f>INDEX('2 ASABE Capital Recovery'!$B$3:$O$22,MATCH('Tractor &amp; Imp Costs'!$G$15,'2 ASABE Capital Recovery'!$A$3:$A$22,0),MATCH('Tractor &amp; Imp Costs'!$G$23,'2 ASABE Capital Recovery'!$B$2:$O$2,0))</f>
        <v>#N/A</v>
      </c>
      <c r="H31" s="175"/>
      <c r="I31" s="206" t="e">
        <f>INDEX('2 ASABE Capital Recovery'!$B$3:$O$22,MATCH('Tractor &amp; Imp Costs'!$I$15,'2 ASABE Capital Recovery'!$A$3:$A$22,0),MATCH('Tractor &amp; Imp Costs'!$I$23,'2 ASABE Capital Recovery'!$B$2:$O$2,0))</f>
        <v>#N/A</v>
      </c>
      <c r="J31" s="148"/>
      <c r="K31" s="169"/>
      <c r="L31" s="280" t="s">
        <v>590</v>
      </c>
      <c r="M31" s="281"/>
      <c r="N31" s="281"/>
      <c r="O31" s="281"/>
      <c r="P31" s="183"/>
      <c r="Q31" s="282" t="e">
        <f>Q29/I8</f>
        <v>#N/A</v>
      </c>
      <c r="R31" s="283"/>
      <c r="S31" s="283"/>
      <c r="T31" s="186"/>
    </row>
    <row r="32" spans="1:20" x14ac:dyDescent="0.25">
      <c r="A32" s="139"/>
      <c r="B32" s="177"/>
      <c r="C32" s="177"/>
      <c r="D32" s="177"/>
      <c r="E32" s="177"/>
      <c r="F32" s="177"/>
      <c r="G32" s="177"/>
      <c r="H32" s="177"/>
      <c r="I32" s="177"/>
      <c r="J32" s="148"/>
      <c r="K32" s="139"/>
      <c r="L32" s="281"/>
      <c r="M32" s="281"/>
      <c r="N32" s="281"/>
      <c r="O32" s="281"/>
      <c r="P32" s="170"/>
      <c r="Q32" s="283"/>
      <c r="R32" s="283"/>
      <c r="S32" s="283"/>
      <c r="T32" s="147"/>
    </row>
    <row r="33" spans="1:20" ht="15.75" thickBot="1" x14ac:dyDescent="0.3">
      <c r="A33" s="166"/>
      <c r="B33" s="167"/>
      <c r="C33" s="167"/>
      <c r="D33" s="167"/>
      <c r="E33" s="167"/>
      <c r="F33" s="167"/>
      <c r="G33" s="167"/>
      <c r="H33" s="167"/>
      <c r="I33" s="167"/>
      <c r="J33" s="167"/>
      <c r="K33" s="166"/>
      <c r="L33" s="167"/>
      <c r="M33" s="167"/>
      <c r="N33" s="167"/>
      <c r="O33" s="167"/>
      <c r="P33" s="167"/>
      <c r="Q33" s="167"/>
      <c r="R33" s="167"/>
      <c r="S33" s="167"/>
      <c r="T33" s="168"/>
    </row>
  </sheetData>
  <sheetProtection algorithmName="SHA-512" hashValue="DOH4zxx7DefiEh07sUZGostFGyRaG0L0s76jq3JRRLgmFCCV8qAiyvAfQkBpFwRAzhm9xECqBwK4c/+5c9+wIw==" saltValue="6YW2yC5Y2z5s3ljXpYlaaw==" spinCount="100000" sheet="1" objects="1" scenarios="1"/>
  <mergeCells count="40">
    <mergeCell ref="A1:T1"/>
    <mergeCell ref="L31:O32"/>
    <mergeCell ref="Q31:S32"/>
    <mergeCell ref="L10:O10"/>
    <mergeCell ref="L4:S4"/>
    <mergeCell ref="L12:O12"/>
    <mergeCell ref="L14:S14"/>
    <mergeCell ref="L24:S24"/>
    <mergeCell ref="L29:O29"/>
    <mergeCell ref="Q29:S29"/>
    <mergeCell ref="L11:O11"/>
    <mergeCell ref="L21:O21"/>
    <mergeCell ref="L27:O27"/>
    <mergeCell ref="L17:O17"/>
    <mergeCell ref="L7:O7"/>
    <mergeCell ref="L8:O8"/>
    <mergeCell ref="L9:O9"/>
    <mergeCell ref="B27:E27"/>
    <mergeCell ref="B28:E28"/>
    <mergeCell ref="B29:E29"/>
    <mergeCell ref="L18:O18"/>
    <mergeCell ref="L19:O19"/>
    <mergeCell ref="L20:O20"/>
    <mergeCell ref="L22:O22"/>
    <mergeCell ref="B31:E31"/>
    <mergeCell ref="B23:E23"/>
    <mergeCell ref="G2:I4"/>
    <mergeCell ref="B5:E7"/>
    <mergeCell ref="B8:E8"/>
    <mergeCell ref="B11:I11"/>
    <mergeCell ref="B14:E14"/>
    <mergeCell ref="B15:E15"/>
    <mergeCell ref="B16:E16"/>
    <mergeCell ref="B17:E17"/>
    <mergeCell ref="B18:E18"/>
    <mergeCell ref="B20:I20"/>
    <mergeCell ref="B30:E30"/>
    <mergeCell ref="B24:E24"/>
    <mergeCell ref="B25:E25"/>
    <mergeCell ref="B26:E26"/>
  </mergeCells>
  <printOptions horizontalCentered="1" verticalCentered="1"/>
  <pageMargins left="0" right="0" top="0" bottom="0" header="0" footer="0"/>
  <pageSetup scale="62" orientation="landscape" r:id="rId1"/>
  <ignoredErrors>
    <ignoredError sqref="G31:I31 L9:S30 P31:Q31" evalError="1"/>
  </ignoredErrors>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54F4A1E3-51D3-4D8B-8795-2F5A62622225}">
          <x14:formula1>
            <xm:f>'5 Towed Implements'!$A$3:$A$389</xm:f>
          </x14:formula1>
          <xm:sqref>I6</xm:sqref>
        </x14:dataValidation>
        <x14:dataValidation type="list" allowBlank="1" showInputMessage="1" showErrorMessage="1" xr:uid="{D22B7B71-33B8-49B8-B846-FA4A8E729451}">
          <x14:formula1>
            <xm:f>Lists!$I$2:$I$3</xm:f>
          </x14:formula1>
          <xm:sqref>G8:G9</xm:sqref>
        </x14:dataValidation>
        <x14:dataValidation type="list" allowBlank="1" showInputMessage="1" showErrorMessage="1" xr:uid="{16FDFEBD-4388-4142-9E84-5692B5C93DFA}">
          <x14:formula1>
            <xm:f>Lists!$B$2:$B$102</xm:f>
          </x14:formula1>
          <xm:sqref>G23:G24 I23:I24</xm:sqref>
        </x14:dataValidation>
        <x14:dataValidation type="list" allowBlank="1" showInputMessage="1" showErrorMessage="1" xr:uid="{13681B73-616C-44E1-A8C8-6DD3B487E933}">
          <x14:formula1>
            <xm:f>Lists!$G$2:$G$102</xm:f>
          </x14:formula1>
          <xm:sqref>G25:G26 I25:I26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E95AD-AB30-4AEE-BD4B-269BCB7016F6}">
  <sheetPr>
    <tabColor rgb="FF7030A0"/>
    <pageSetUpPr fitToPage="1"/>
  </sheetPr>
  <dimension ref="A1:P33"/>
  <sheetViews>
    <sheetView workbookViewId="0">
      <selection activeCell="S10" sqref="S10"/>
    </sheetView>
  </sheetViews>
  <sheetFormatPr defaultRowHeight="15" x14ac:dyDescent="0.25"/>
  <cols>
    <col min="1" max="1" width="3.7109375" customWidth="1"/>
    <col min="5" max="5" width="9.140625" customWidth="1"/>
    <col min="6" max="6" width="3.7109375" customWidth="1"/>
    <col min="7" max="7" width="35.7109375" customWidth="1"/>
    <col min="8" max="9" width="3.7109375" customWidth="1"/>
    <col min="14" max="14" width="3.7109375" customWidth="1"/>
    <col min="15" max="15" width="35.7109375" customWidth="1"/>
    <col min="16" max="16" width="3.7109375" customWidth="1"/>
  </cols>
  <sheetData>
    <row r="1" spans="1:16" ht="21.75" thickBot="1" x14ac:dyDescent="0.4">
      <c r="A1" s="277" t="s">
        <v>689</v>
      </c>
      <c r="B1" s="278"/>
      <c r="C1" s="278"/>
      <c r="D1" s="278"/>
      <c r="E1" s="278"/>
      <c r="F1" s="278"/>
      <c r="G1" s="278"/>
      <c r="H1" s="278"/>
      <c r="I1" s="278"/>
      <c r="J1" s="278"/>
      <c r="K1" s="278"/>
      <c r="L1" s="278"/>
      <c r="M1" s="278"/>
      <c r="N1" s="278"/>
      <c r="O1" s="278"/>
      <c r="P1" s="279"/>
    </row>
    <row r="2" spans="1:16" ht="21" x14ac:dyDescent="0.35">
      <c r="A2" s="139"/>
      <c r="B2" s="170"/>
      <c r="C2" s="170"/>
      <c r="D2" s="170"/>
      <c r="E2" s="170"/>
      <c r="F2" s="170"/>
      <c r="G2" s="265" t="s">
        <v>655</v>
      </c>
      <c r="H2" s="140"/>
      <c r="I2" s="170"/>
      <c r="J2" s="188"/>
      <c r="K2" s="188"/>
      <c r="L2" s="188"/>
      <c r="M2" s="188"/>
      <c r="N2" s="188"/>
      <c r="O2" s="188"/>
      <c r="P2" s="189"/>
    </row>
    <row r="3" spans="1:16" ht="15.75" thickBot="1" x14ac:dyDescent="0.3">
      <c r="A3" s="139"/>
      <c r="B3" s="170"/>
      <c r="C3" s="170"/>
      <c r="D3" s="170"/>
      <c r="E3" s="170"/>
      <c r="F3" s="170"/>
      <c r="G3" s="265"/>
      <c r="H3" s="140"/>
      <c r="I3" s="139"/>
      <c r="J3" s="170"/>
      <c r="K3" s="170"/>
      <c r="L3" s="170"/>
      <c r="M3" s="170"/>
      <c r="N3" s="170"/>
      <c r="O3" s="170"/>
      <c r="P3" s="147"/>
    </row>
    <row r="4" spans="1:16" ht="16.5" thickBot="1" x14ac:dyDescent="0.3">
      <c r="A4" s="139"/>
      <c r="B4" s="170"/>
      <c r="C4" s="170"/>
      <c r="D4" s="170"/>
      <c r="E4" s="170"/>
      <c r="F4" s="170"/>
      <c r="G4" s="265"/>
      <c r="H4" s="140"/>
      <c r="I4" s="139"/>
      <c r="J4" s="276" t="s">
        <v>680</v>
      </c>
      <c r="K4" s="276"/>
      <c r="L4" s="276"/>
      <c r="M4" s="276"/>
      <c r="N4" s="276"/>
      <c r="O4" s="276"/>
      <c r="P4" s="151"/>
    </row>
    <row r="5" spans="1:16" ht="15.75" x14ac:dyDescent="0.25">
      <c r="A5" s="139"/>
      <c r="B5" s="266" t="s">
        <v>656</v>
      </c>
      <c r="C5" s="267"/>
      <c r="D5" s="267"/>
      <c r="E5" s="268"/>
      <c r="F5" s="170"/>
      <c r="G5" s="174" t="s">
        <v>687</v>
      </c>
      <c r="H5" s="141"/>
      <c r="I5" s="139"/>
      <c r="J5" s="195"/>
      <c r="K5" s="195"/>
      <c r="L5" s="195"/>
      <c r="M5" s="195"/>
      <c r="N5" s="195"/>
      <c r="O5" s="195"/>
      <c r="P5" s="151"/>
    </row>
    <row r="6" spans="1:16" ht="15.75" x14ac:dyDescent="0.25">
      <c r="A6" s="139"/>
      <c r="B6" s="269"/>
      <c r="C6" s="270"/>
      <c r="D6" s="270"/>
      <c r="E6" s="271"/>
      <c r="F6" s="175" t="s">
        <v>659</v>
      </c>
      <c r="G6" s="142" t="s">
        <v>73</v>
      </c>
      <c r="H6" s="143"/>
      <c r="I6" s="139"/>
      <c r="J6" s="8"/>
      <c r="K6" s="8"/>
      <c r="L6" s="8"/>
      <c r="M6" s="8"/>
      <c r="N6" s="170"/>
      <c r="O6" s="174" t="s">
        <v>687</v>
      </c>
      <c r="P6" s="151"/>
    </row>
    <row r="7" spans="1:16" x14ac:dyDescent="0.25">
      <c r="A7" s="139"/>
      <c r="B7" s="272"/>
      <c r="C7" s="273"/>
      <c r="D7" s="273"/>
      <c r="E7" s="274"/>
      <c r="F7" s="170"/>
      <c r="G7" s="178" t="s">
        <v>661</v>
      </c>
      <c r="H7" s="144"/>
      <c r="I7" s="139"/>
      <c r="J7" s="264" t="s">
        <v>681</v>
      </c>
      <c r="K7" s="264"/>
      <c r="L7" s="264"/>
      <c r="M7" s="264"/>
      <c r="N7" s="177"/>
      <c r="O7" s="202">
        <f>G24*G14</f>
        <v>0</v>
      </c>
      <c r="P7" s="149"/>
    </row>
    <row r="8" spans="1:16" x14ac:dyDescent="0.25">
      <c r="A8" s="139"/>
      <c r="B8" s="275" t="s">
        <v>662</v>
      </c>
      <c r="C8" s="275"/>
      <c r="D8" s="275"/>
      <c r="E8" s="275"/>
      <c r="F8" s="170"/>
      <c r="G8" s="207">
        <f>INDEX('4 Self Propelled'!$A$3:$N$20,MATCH('Self Propelled Costs'!$G$6,'4 Self Propelled'!$A$3:$A$20,0),13)</f>
        <v>0</v>
      </c>
      <c r="H8" s="146"/>
      <c r="I8" s="139"/>
      <c r="J8" s="264" t="s">
        <v>561</v>
      </c>
      <c r="K8" s="264"/>
      <c r="L8" s="264"/>
      <c r="M8" s="264"/>
      <c r="N8" s="177"/>
      <c r="O8" s="202">
        <f>G27-O7</f>
        <v>0</v>
      </c>
      <c r="P8" s="149"/>
    </row>
    <row r="9" spans="1:16" x14ac:dyDescent="0.25">
      <c r="A9" s="139"/>
      <c r="B9" s="196"/>
      <c r="C9" s="196"/>
      <c r="D9" s="196"/>
      <c r="E9" s="196"/>
      <c r="F9" s="170"/>
      <c r="G9" s="197"/>
      <c r="H9" s="146"/>
      <c r="I9" s="139"/>
      <c r="J9" s="264" t="s">
        <v>563</v>
      </c>
      <c r="K9" s="264"/>
      <c r="L9" s="264"/>
      <c r="M9" s="264"/>
      <c r="N9" s="177"/>
      <c r="O9" s="202" t="e">
        <f>((O8*G31)+(G23*O7))</f>
        <v>#N/A</v>
      </c>
      <c r="P9" s="149"/>
    </row>
    <row r="10" spans="1:16" ht="15.75" thickBot="1" x14ac:dyDescent="0.3">
      <c r="A10" s="139"/>
      <c r="B10" s="179"/>
      <c r="C10" s="179"/>
      <c r="D10" s="179"/>
      <c r="E10" s="179"/>
      <c r="F10" s="170"/>
      <c r="G10" s="170"/>
      <c r="H10" s="147"/>
      <c r="I10" s="139"/>
      <c r="J10" s="264" t="s">
        <v>566</v>
      </c>
      <c r="K10" s="264"/>
      <c r="L10" s="264"/>
      <c r="M10" s="264"/>
      <c r="N10" s="177"/>
      <c r="O10" s="202">
        <f>(0.01*((G27+O7)/2))</f>
        <v>0</v>
      </c>
      <c r="P10" s="149"/>
    </row>
    <row r="11" spans="1:16" ht="16.5" thickBot="1" x14ac:dyDescent="0.3">
      <c r="A11" s="139"/>
      <c r="B11" s="276" t="s">
        <v>663</v>
      </c>
      <c r="C11" s="276"/>
      <c r="D11" s="276"/>
      <c r="E11" s="276"/>
      <c r="F11" s="276"/>
      <c r="G11" s="276"/>
      <c r="H11" s="148"/>
      <c r="I11" s="139"/>
      <c r="J11" s="264" t="s">
        <v>568</v>
      </c>
      <c r="K11" s="264"/>
      <c r="L11" s="264"/>
      <c r="M11" s="264"/>
      <c r="N11" s="177"/>
      <c r="O11" s="202" t="e">
        <f>O9+O10</f>
        <v>#N/A</v>
      </c>
      <c r="P11" s="149"/>
    </row>
    <row r="12" spans="1:16" ht="15.75" x14ac:dyDescent="0.25">
      <c r="A12" s="139"/>
      <c r="B12" s="195"/>
      <c r="C12" s="195"/>
      <c r="D12" s="195"/>
      <c r="E12" s="195"/>
      <c r="F12" s="195"/>
      <c r="G12" s="195"/>
      <c r="H12" s="148"/>
      <c r="I12" s="139"/>
      <c r="J12" s="264" t="s">
        <v>570</v>
      </c>
      <c r="K12" s="264"/>
      <c r="L12" s="264"/>
      <c r="M12" s="264"/>
      <c r="N12" s="177"/>
      <c r="O12" s="202" t="e">
        <f>O11/G16</f>
        <v>#N/A</v>
      </c>
      <c r="P12" s="149"/>
    </row>
    <row r="13" spans="1:16" ht="16.5" thickBot="1" x14ac:dyDescent="0.3">
      <c r="A13" s="139"/>
      <c r="B13" s="177"/>
      <c r="C13" s="177"/>
      <c r="D13" s="177"/>
      <c r="E13" s="177"/>
      <c r="F13" s="177"/>
      <c r="G13" s="174" t="s">
        <v>687</v>
      </c>
      <c r="H13" s="148"/>
      <c r="I13" s="139"/>
      <c r="J13" s="170"/>
      <c r="K13" s="170"/>
      <c r="L13" s="170"/>
      <c r="M13" s="170"/>
      <c r="N13" s="170"/>
      <c r="O13" s="180"/>
      <c r="P13" s="160"/>
    </row>
    <row r="14" spans="1:16" ht="16.5" thickBot="1" x14ac:dyDescent="0.3">
      <c r="A14" s="139"/>
      <c r="B14" s="264" t="s">
        <v>664</v>
      </c>
      <c r="C14" s="264"/>
      <c r="D14" s="264"/>
      <c r="E14" s="264"/>
      <c r="F14" s="177"/>
      <c r="G14" s="202">
        <f>INDEX('4 Self Propelled'!$A$3:$N$20,MATCH('Self Propelled Costs'!$G$6,'4 Self Propelled'!$A$3:$A$20,0),2)</f>
        <v>0</v>
      </c>
      <c r="H14" s="149"/>
      <c r="I14" s="139"/>
      <c r="J14" s="276" t="s">
        <v>682</v>
      </c>
      <c r="K14" s="276"/>
      <c r="L14" s="276"/>
      <c r="M14" s="276"/>
      <c r="N14" s="276"/>
      <c r="O14" s="276"/>
      <c r="P14" s="160"/>
    </row>
    <row r="15" spans="1:16" ht="15.75" x14ac:dyDescent="0.25">
      <c r="A15" s="139"/>
      <c r="B15" s="264" t="s">
        <v>665</v>
      </c>
      <c r="C15" s="264"/>
      <c r="D15" s="264"/>
      <c r="E15" s="264"/>
      <c r="F15" s="177"/>
      <c r="G15" s="205">
        <f>INDEX('4 Self Propelled'!$A$3:$N$20,MATCH('Self Propelled Costs'!$G$6,'4 Self Propelled'!$A$3:$A$20,0),4)</f>
        <v>0</v>
      </c>
      <c r="H15" s="150"/>
      <c r="I15" s="139"/>
      <c r="J15" s="195"/>
      <c r="K15" s="195"/>
      <c r="L15" s="195"/>
      <c r="M15" s="195"/>
      <c r="N15" s="195"/>
      <c r="O15" s="195"/>
      <c r="P15" s="160"/>
    </row>
    <row r="16" spans="1:16" ht="15.75" x14ac:dyDescent="0.25">
      <c r="A16" s="139"/>
      <c r="B16" s="264" t="s">
        <v>666</v>
      </c>
      <c r="C16" s="264"/>
      <c r="D16" s="264"/>
      <c r="E16" s="264"/>
      <c r="F16" s="177"/>
      <c r="G16" s="205">
        <f>INDEX('4 Self Propelled'!$A$3:$N$20,MATCH('Self Propelled Costs'!$G$6,'4 Self Propelled'!$A$3:$A$20,0),3)</f>
        <v>0</v>
      </c>
      <c r="H16" s="150"/>
      <c r="I16" s="139"/>
      <c r="J16" s="170"/>
      <c r="K16" s="170"/>
      <c r="L16" s="170"/>
      <c r="M16" s="170"/>
      <c r="N16" s="170"/>
      <c r="O16" s="174" t="s">
        <v>687</v>
      </c>
      <c r="P16" s="160"/>
    </row>
    <row r="17" spans="1:16" x14ac:dyDescent="0.25">
      <c r="A17" s="139"/>
      <c r="B17" s="264" t="s">
        <v>667</v>
      </c>
      <c r="C17" s="264"/>
      <c r="D17" s="264"/>
      <c r="E17" s="264"/>
      <c r="F17" s="177"/>
      <c r="G17" s="205">
        <f>INDEX('4 Self Propelled'!$A$3:$N$20,MATCH('Self Propelled Costs'!$G$6,'4 Self Propelled'!$A$3:$A$20,0),14)</f>
        <v>0</v>
      </c>
      <c r="H17" s="151"/>
      <c r="I17" s="139"/>
      <c r="J17" s="264" t="s">
        <v>572</v>
      </c>
      <c r="K17" s="264"/>
      <c r="L17" s="264"/>
      <c r="M17" s="264"/>
      <c r="N17" s="177"/>
      <c r="O17" s="202">
        <f>((G26-G25)*G14)</f>
        <v>0</v>
      </c>
      <c r="P17" s="149"/>
    </row>
    <row r="18" spans="1:16" x14ac:dyDescent="0.25">
      <c r="A18" s="139"/>
      <c r="B18" s="264" t="s">
        <v>668</v>
      </c>
      <c r="C18" s="264"/>
      <c r="D18" s="264"/>
      <c r="E18" s="264"/>
      <c r="F18" s="175"/>
      <c r="G18" s="205">
        <f>((G15*G16)+G28)</f>
        <v>0</v>
      </c>
      <c r="H18" s="151"/>
      <c r="I18" s="139"/>
      <c r="J18" s="264" t="s">
        <v>574</v>
      </c>
      <c r="K18" s="264"/>
      <c r="L18" s="264"/>
      <c r="M18" s="264"/>
      <c r="N18" s="177"/>
      <c r="O18" s="202" t="e">
        <f>(O17/(G18-G28))</f>
        <v>#DIV/0!</v>
      </c>
      <c r="P18" s="149"/>
    </row>
    <row r="19" spans="1:16" ht="15.75" thickBot="1" x14ac:dyDescent="0.3">
      <c r="A19" s="139"/>
      <c r="B19" s="8"/>
      <c r="C19" s="8"/>
      <c r="D19" s="8"/>
      <c r="E19" s="8"/>
      <c r="F19" s="170"/>
      <c r="G19" s="152"/>
      <c r="H19" s="151"/>
      <c r="I19" s="139"/>
      <c r="J19" s="264" t="s">
        <v>576</v>
      </c>
      <c r="K19" s="264"/>
      <c r="L19" s="264"/>
      <c r="M19" s="264"/>
      <c r="N19" s="177"/>
      <c r="O19" s="202">
        <f>(0.044*G17*G29)</f>
        <v>0</v>
      </c>
      <c r="P19" s="151"/>
    </row>
    <row r="20" spans="1:16" ht="16.5" thickBot="1" x14ac:dyDescent="0.3">
      <c r="A20" s="139"/>
      <c r="B20" s="276" t="s">
        <v>669</v>
      </c>
      <c r="C20" s="276"/>
      <c r="D20" s="276"/>
      <c r="E20" s="276"/>
      <c r="F20" s="276"/>
      <c r="G20" s="276"/>
      <c r="H20" s="153"/>
      <c r="I20" s="139"/>
      <c r="J20" s="264" t="s">
        <v>582</v>
      </c>
      <c r="K20" s="264"/>
      <c r="L20" s="264"/>
      <c r="M20" s="264"/>
      <c r="N20" s="177"/>
      <c r="O20" s="202">
        <f>0.15*O19</f>
        <v>0</v>
      </c>
      <c r="P20" s="151"/>
    </row>
    <row r="21" spans="1:16" ht="15.75" x14ac:dyDescent="0.25">
      <c r="A21" s="139"/>
      <c r="B21" s="195"/>
      <c r="C21" s="195"/>
      <c r="D21" s="195"/>
      <c r="E21" s="195"/>
      <c r="F21" s="195"/>
      <c r="G21" s="195"/>
      <c r="H21" s="153"/>
      <c r="I21" s="139"/>
      <c r="J21" s="264" t="s">
        <v>584</v>
      </c>
      <c r="K21" s="264"/>
      <c r="L21" s="264"/>
      <c r="M21" s="264"/>
      <c r="N21" s="177"/>
      <c r="O21" s="202">
        <f>1.1*G30</f>
        <v>0</v>
      </c>
      <c r="P21" s="151"/>
    </row>
    <row r="22" spans="1:16" ht="15.75" x14ac:dyDescent="0.25">
      <c r="A22" s="139"/>
      <c r="B22" s="181"/>
      <c r="C22" s="181"/>
      <c r="D22" s="181"/>
      <c r="E22" s="181"/>
      <c r="F22" s="170"/>
      <c r="G22" s="174" t="s">
        <v>687</v>
      </c>
      <c r="H22" s="147"/>
      <c r="I22" s="139"/>
      <c r="J22" s="264" t="s">
        <v>586</v>
      </c>
      <c r="K22" s="264"/>
      <c r="L22" s="264"/>
      <c r="M22" s="264"/>
      <c r="N22" s="177"/>
      <c r="O22" s="202" t="e">
        <f>O18+O19+O20+O21</f>
        <v>#DIV/0!</v>
      </c>
      <c r="P22" s="149"/>
    </row>
    <row r="23" spans="1:16" ht="15.75" thickBot="1" x14ac:dyDescent="0.3">
      <c r="A23" s="139"/>
      <c r="B23" s="264" t="s">
        <v>679</v>
      </c>
      <c r="C23" s="264"/>
      <c r="D23" s="264"/>
      <c r="E23" s="264"/>
      <c r="F23" s="175" t="s">
        <v>659</v>
      </c>
      <c r="G23" s="154">
        <v>0</v>
      </c>
      <c r="H23" s="155"/>
      <c r="I23" s="139"/>
      <c r="J23" s="170"/>
      <c r="K23" s="170"/>
      <c r="L23" s="170"/>
      <c r="M23" s="170"/>
      <c r="N23" s="170"/>
      <c r="O23" s="182"/>
      <c r="P23" s="162"/>
    </row>
    <row r="24" spans="1:16" ht="16.5" thickBot="1" x14ac:dyDescent="0.3">
      <c r="A24" s="139"/>
      <c r="B24" s="264" t="s">
        <v>670</v>
      </c>
      <c r="C24" s="264"/>
      <c r="D24" s="264"/>
      <c r="E24" s="264"/>
      <c r="F24" s="175" t="s">
        <v>659</v>
      </c>
      <c r="G24" s="154">
        <v>0</v>
      </c>
      <c r="H24" s="155"/>
      <c r="I24" s="139"/>
      <c r="J24" s="276" t="s">
        <v>683</v>
      </c>
      <c r="K24" s="276"/>
      <c r="L24" s="276"/>
      <c r="M24" s="276"/>
      <c r="N24" s="276"/>
      <c r="O24" s="276"/>
      <c r="P24" s="162"/>
    </row>
    <row r="25" spans="1:16" ht="15.75" x14ac:dyDescent="0.25">
      <c r="A25" s="139"/>
      <c r="B25" s="264" t="s">
        <v>671</v>
      </c>
      <c r="C25" s="264"/>
      <c r="D25" s="264"/>
      <c r="E25" s="264"/>
      <c r="F25" s="175" t="s">
        <v>659</v>
      </c>
      <c r="G25" s="154">
        <v>0</v>
      </c>
      <c r="H25" s="155"/>
      <c r="I25" s="139"/>
      <c r="J25" s="195"/>
      <c r="K25" s="195"/>
      <c r="L25" s="195"/>
      <c r="M25" s="195"/>
      <c r="N25" s="195"/>
      <c r="O25" s="195"/>
      <c r="P25" s="162"/>
    </row>
    <row r="26" spans="1:16" ht="15.75" x14ac:dyDescent="0.25">
      <c r="A26" s="139"/>
      <c r="B26" s="264" t="s">
        <v>672</v>
      </c>
      <c r="C26" s="264"/>
      <c r="D26" s="264"/>
      <c r="E26" s="264"/>
      <c r="F26" s="175" t="s">
        <v>659</v>
      </c>
      <c r="G26" s="154">
        <v>0</v>
      </c>
      <c r="H26" s="155"/>
      <c r="I26" s="139"/>
      <c r="J26" s="170"/>
      <c r="K26" s="170"/>
      <c r="L26" s="170"/>
      <c r="M26" s="170"/>
      <c r="N26" s="170"/>
      <c r="O26" s="174" t="s">
        <v>687</v>
      </c>
      <c r="P26" s="162"/>
    </row>
    <row r="27" spans="1:16" ht="15.75" customHeight="1" x14ac:dyDescent="0.25">
      <c r="A27" s="139"/>
      <c r="B27" s="264" t="s">
        <v>673</v>
      </c>
      <c r="C27" s="264"/>
      <c r="D27" s="264"/>
      <c r="E27" s="264"/>
      <c r="F27" s="175" t="s">
        <v>659</v>
      </c>
      <c r="G27" s="156">
        <v>0</v>
      </c>
      <c r="H27" s="157"/>
      <c r="I27" s="139"/>
      <c r="J27" s="264" t="s">
        <v>684</v>
      </c>
      <c r="K27" s="264"/>
      <c r="L27" s="264"/>
      <c r="M27" s="264"/>
      <c r="N27" s="183"/>
      <c r="O27" s="202" t="e">
        <f>O12+O22</f>
        <v>#N/A</v>
      </c>
      <c r="P27" s="163"/>
    </row>
    <row r="28" spans="1:16" ht="15" customHeight="1" x14ac:dyDescent="0.25">
      <c r="A28" s="139"/>
      <c r="B28" s="264" t="s">
        <v>674</v>
      </c>
      <c r="C28" s="264"/>
      <c r="D28" s="264"/>
      <c r="E28" s="264"/>
      <c r="F28" s="175" t="s">
        <v>659</v>
      </c>
      <c r="G28" s="158">
        <v>0</v>
      </c>
      <c r="H28" s="159"/>
      <c r="I28" s="139"/>
      <c r="J28" s="8"/>
      <c r="K28" s="8"/>
      <c r="L28" s="8"/>
      <c r="M28" s="8"/>
      <c r="N28" s="8"/>
      <c r="O28" s="172"/>
      <c r="P28" s="160"/>
    </row>
    <row r="29" spans="1:16" ht="18.75" x14ac:dyDescent="0.3">
      <c r="A29" s="139"/>
      <c r="B29" s="264" t="s">
        <v>675</v>
      </c>
      <c r="C29" s="264"/>
      <c r="D29" s="264"/>
      <c r="E29" s="264"/>
      <c r="F29" s="175" t="s">
        <v>659</v>
      </c>
      <c r="G29" s="156">
        <v>0</v>
      </c>
      <c r="H29" s="151"/>
      <c r="I29" s="139"/>
      <c r="J29" s="287" t="s">
        <v>590</v>
      </c>
      <c r="K29" s="288"/>
      <c r="L29" s="288"/>
      <c r="M29" s="288"/>
      <c r="N29" s="190"/>
      <c r="O29" s="289" t="e">
        <f>O27/G8</f>
        <v>#N/A</v>
      </c>
      <c r="P29" s="187"/>
    </row>
    <row r="30" spans="1:16" x14ac:dyDescent="0.25">
      <c r="A30" s="139"/>
      <c r="B30" s="264" t="s">
        <v>676</v>
      </c>
      <c r="C30" s="264"/>
      <c r="D30" s="264"/>
      <c r="E30" s="264"/>
      <c r="F30" s="175" t="s">
        <v>659</v>
      </c>
      <c r="G30" s="156">
        <v>0</v>
      </c>
      <c r="H30" s="151"/>
      <c r="I30" s="139"/>
      <c r="J30" s="288"/>
      <c r="K30" s="288"/>
      <c r="L30" s="288"/>
      <c r="M30" s="288"/>
      <c r="N30" s="170"/>
      <c r="O30" s="290"/>
      <c r="P30" s="147"/>
    </row>
    <row r="31" spans="1:16" x14ac:dyDescent="0.25">
      <c r="A31" s="139"/>
      <c r="B31" s="264" t="s">
        <v>677</v>
      </c>
      <c r="C31" s="264"/>
      <c r="D31" s="264"/>
      <c r="E31" s="264"/>
      <c r="F31" s="177"/>
      <c r="G31" s="206" t="e">
        <f>INDEX('2 ASABE Capital Recovery'!$B$3:$O$22,MATCH('Self Propelled Costs'!$G$15,'2 ASABE Capital Recovery'!$A$3:$A$22,0),MATCH('Self Propelled Costs'!$G$23,'2 ASABE Capital Recovery'!$B$2:$O$2,0))</f>
        <v>#N/A</v>
      </c>
      <c r="H31" s="148"/>
      <c r="I31" s="139"/>
      <c r="J31" s="288"/>
      <c r="K31" s="288"/>
      <c r="L31" s="288"/>
      <c r="M31" s="288"/>
      <c r="N31" s="170"/>
      <c r="O31" s="290"/>
      <c r="P31" s="147"/>
    </row>
    <row r="32" spans="1:16" ht="15" customHeight="1" x14ac:dyDescent="0.25">
      <c r="A32" s="139"/>
      <c r="B32" s="176"/>
      <c r="C32" s="176"/>
      <c r="D32" s="176"/>
      <c r="E32" s="176"/>
      <c r="F32" s="177"/>
      <c r="G32" s="180"/>
      <c r="H32" s="148"/>
      <c r="I32" s="139"/>
      <c r="J32" s="193"/>
      <c r="K32" s="193"/>
      <c r="L32" s="193"/>
      <c r="M32" s="193"/>
      <c r="N32" s="170"/>
      <c r="O32" s="194"/>
      <c r="P32" s="147"/>
    </row>
    <row r="33" spans="1:16" ht="15.75" thickBot="1" x14ac:dyDescent="0.3">
      <c r="A33" s="166"/>
      <c r="B33" s="191"/>
      <c r="C33" s="191"/>
      <c r="D33" s="191"/>
      <c r="E33" s="191"/>
      <c r="F33" s="191"/>
      <c r="G33" s="191"/>
      <c r="H33" s="192"/>
      <c r="I33" s="166"/>
      <c r="J33" s="167"/>
      <c r="K33" s="167"/>
      <c r="L33" s="167"/>
      <c r="M33" s="167"/>
      <c r="N33" s="167"/>
      <c r="O33" s="167"/>
      <c r="P33" s="168"/>
    </row>
  </sheetData>
  <sheetProtection algorithmName="SHA-512" hashValue="mK0xWO7nayO+4usIHXiOKI3EOgQI9b+YLYpl4pi//Ncz0pIrHv4hlnATMVvOCKoD3V0QCbhl3vJXVQnDEqzjdg==" saltValue="GJNPlJimuGFGREjaIb694g==" spinCount="100000" sheet="1" objects="1" scenarios="1"/>
  <mergeCells count="38">
    <mergeCell ref="J24:O24"/>
    <mergeCell ref="J27:M27"/>
    <mergeCell ref="A1:P1"/>
    <mergeCell ref="J29:M31"/>
    <mergeCell ref="O29:O31"/>
    <mergeCell ref="J17:M17"/>
    <mergeCell ref="J18:M18"/>
    <mergeCell ref="J19:M19"/>
    <mergeCell ref="J20:M20"/>
    <mergeCell ref="J21:M21"/>
    <mergeCell ref="J22:M22"/>
    <mergeCell ref="B17:E17"/>
    <mergeCell ref="B18:E18"/>
    <mergeCell ref="J4:O4"/>
    <mergeCell ref="J7:M7"/>
    <mergeCell ref="J8:M8"/>
    <mergeCell ref="J9:M9"/>
    <mergeCell ref="J10:M10"/>
    <mergeCell ref="J11:M11"/>
    <mergeCell ref="J12:M12"/>
    <mergeCell ref="J14:O14"/>
    <mergeCell ref="B30:E30"/>
    <mergeCell ref="B31:E31"/>
    <mergeCell ref="B11:G11"/>
    <mergeCell ref="B14:E14"/>
    <mergeCell ref="B15:E15"/>
    <mergeCell ref="B16:E16"/>
    <mergeCell ref="B24:E24"/>
    <mergeCell ref="B25:E25"/>
    <mergeCell ref="B26:E26"/>
    <mergeCell ref="B27:E27"/>
    <mergeCell ref="B28:E28"/>
    <mergeCell ref="B29:E29"/>
    <mergeCell ref="G2:G4"/>
    <mergeCell ref="B5:E7"/>
    <mergeCell ref="B8:E8"/>
    <mergeCell ref="B20:G20"/>
    <mergeCell ref="B23:E23"/>
  </mergeCells>
  <printOptions horizontalCentered="1" verticalCentered="1"/>
  <pageMargins left="0" right="0" top="0" bottom="0" header="0" footer="0"/>
  <pageSetup scale="81" orientation="landscape" r:id="rId1"/>
  <ignoredErrors>
    <ignoredError sqref="J7:N8 G31 J17:N22 J27:O28 J9:N12 N29:N31 J16:N16 O9:O12 O17:O22 J31:M31 O31 J30:M30 J29:M29 O29 O30 J13:O14 J23:O24 J26:N26" evalError="1"/>
  </ignoredErrors>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9454E7FF-D942-4185-9DEA-F1C4AB98F397}">
          <x14:formula1>
            <xm:f>'4 Self Propelled'!$A$3:$A$20</xm:f>
          </x14:formula1>
          <xm:sqref>G6</xm:sqref>
        </x14:dataValidation>
        <x14:dataValidation type="list" allowBlank="1" showInputMessage="1" showErrorMessage="1" xr:uid="{3DCB4022-9F7D-41F7-A0F7-B30873C08EEA}">
          <x14:formula1>
            <xm:f>Lists!$B$2:$B$102</xm:f>
          </x14:formula1>
          <xm:sqref>G23</xm:sqref>
        </x14:dataValidation>
        <x14:dataValidation type="list" allowBlank="1" showInputMessage="1" showErrorMessage="1" xr:uid="{2FE82A50-3E9F-418D-A456-1F3759AEC433}">
          <x14:formula1>
            <xm:f>Lists!$F$2:$F$102</xm:f>
          </x14:formula1>
          <xm:sqref>G24</xm:sqref>
        </x14:dataValidation>
        <x14:dataValidation type="list" allowBlank="1" showInputMessage="1" showErrorMessage="1" xr:uid="{D11C34F6-D83E-4E1D-B538-FF651FF9DB64}">
          <x14:formula1>
            <xm:f>Lists!$G$2:$G$102</xm:f>
          </x14:formula1>
          <xm:sqref>G25:G26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AC037-78AB-46B6-A199-1E3C17039133}">
  <sheetPr>
    <pageSetUpPr fitToPage="1"/>
  </sheetPr>
  <dimension ref="A1:Y127"/>
  <sheetViews>
    <sheetView workbookViewId="0">
      <selection activeCell="Q18" sqref="Q18"/>
    </sheetView>
  </sheetViews>
  <sheetFormatPr defaultRowHeight="13.5" x14ac:dyDescent="0.25"/>
  <cols>
    <col min="1" max="1" width="11.7109375" style="1" bestFit="1" customWidth="1"/>
    <col min="2" max="2" width="6.140625" style="1" bestFit="1" customWidth="1"/>
    <col min="3" max="3" width="6.42578125" style="1" bestFit="1" customWidth="1"/>
    <col min="4" max="4" width="7.42578125" style="1" bestFit="1" customWidth="1"/>
    <col min="5" max="5" width="8.28515625" style="1" bestFit="1" customWidth="1"/>
    <col min="6" max="6" width="5.42578125" style="1" bestFit="1" customWidth="1"/>
    <col min="7" max="7" width="8.28515625" style="1" bestFit="1" customWidth="1"/>
    <col min="8" max="8" width="7.28515625" style="1" bestFit="1" customWidth="1"/>
    <col min="9" max="9" width="5.85546875" style="1" bestFit="1" customWidth="1"/>
    <col min="10" max="10" width="5" style="1" bestFit="1" customWidth="1"/>
    <col min="11" max="13" width="7.7109375" style="1" customWidth="1"/>
    <col min="14" max="24" width="9.140625" style="1"/>
    <col min="25" max="25" width="9.140625" style="2"/>
    <col min="26" max="16384" width="9.140625" style="1"/>
  </cols>
  <sheetData>
    <row r="1" spans="1:13" ht="24.75" thickBot="1" x14ac:dyDescent="0.45">
      <c r="A1" s="291" t="s">
        <v>0</v>
      </c>
      <c r="B1" s="291"/>
      <c r="C1" s="291"/>
      <c r="D1" s="291"/>
      <c r="E1" s="291"/>
      <c r="F1" s="291"/>
      <c r="G1" s="291"/>
      <c r="H1" s="291"/>
      <c r="I1" s="291"/>
      <c r="J1" s="291"/>
      <c r="K1" s="291"/>
      <c r="L1" s="291"/>
      <c r="M1" s="291"/>
    </row>
    <row r="2" spans="1:13" ht="14.25" thickBot="1" x14ac:dyDescent="0.3">
      <c r="A2" s="3"/>
      <c r="B2" s="293" t="s">
        <v>1</v>
      </c>
      <c r="C2" s="294"/>
      <c r="D2" s="295"/>
      <c r="E2" s="293" t="s">
        <v>2</v>
      </c>
      <c r="F2" s="294"/>
      <c r="G2" s="295"/>
      <c r="H2" s="293" t="s">
        <v>3</v>
      </c>
      <c r="I2" s="294"/>
      <c r="J2" s="295"/>
      <c r="K2" s="293" t="s">
        <v>4</v>
      </c>
      <c r="L2" s="294"/>
      <c r="M2" s="295"/>
    </row>
    <row r="3" spans="1:13" ht="14.25" thickBot="1" x14ac:dyDescent="0.3">
      <c r="A3" s="4" t="s">
        <v>5</v>
      </c>
      <c r="B3" s="5">
        <v>200</v>
      </c>
      <c r="C3" s="6">
        <v>400</v>
      </c>
      <c r="D3" s="7">
        <v>600</v>
      </c>
      <c r="E3" s="5">
        <v>200</v>
      </c>
      <c r="F3" s="6">
        <v>400</v>
      </c>
      <c r="G3" s="7">
        <v>600</v>
      </c>
      <c r="H3" s="5">
        <v>200</v>
      </c>
      <c r="I3" s="6">
        <v>400</v>
      </c>
      <c r="J3" s="7">
        <v>600</v>
      </c>
      <c r="K3" s="5">
        <v>100</v>
      </c>
      <c r="L3" s="6">
        <v>300</v>
      </c>
      <c r="M3" s="7">
        <v>500</v>
      </c>
    </row>
    <row r="4" spans="1:13" x14ac:dyDescent="0.25">
      <c r="A4" s="8" t="s">
        <v>6</v>
      </c>
      <c r="B4" s="9"/>
      <c r="C4" s="10"/>
      <c r="D4" s="11"/>
      <c r="E4" s="12"/>
      <c r="F4" s="10"/>
      <c r="G4" s="11"/>
      <c r="H4" s="12"/>
      <c r="I4" s="10"/>
      <c r="J4" s="11"/>
      <c r="K4" s="12"/>
      <c r="L4" s="13"/>
      <c r="M4" s="14"/>
    </row>
    <row r="5" spans="1:13" x14ac:dyDescent="0.25">
      <c r="A5" s="15">
        <v>1</v>
      </c>
      <c r="B5" s="16">
        <v>0.65</v>
      </c>
      <c r="C5" s="17">
        <v>0.6</v>
      </c>
      <c r="D5" s="18">
        <v>0.56000000000000005</v>
      </c>
      <c r="E5" s="16">
        <v>0.69</v>
      </c>
      <c r="F5" s="17">
        <v>0.68</v>
      </c>
      <c r="G5" s="18">
        <v>0.68</v>
      </c>
      <c r="H5" s="16">
        <v>0.69</v>
      </c>
      <c r="I5" s="17">
        <v>0.67</v>
      </c>
      <c r="J5" s="18">
        <v>0.66</v>
      </c>
      <c r="K5" s="16">
        <v>0.79</v>
      </c>
      <c r="L5" s="17">
        <v>0.69</v>
      </c>
      <c r="M5" s="18">
        <v>0.63</v>
      </c>
    </row>
    <row r="6" spans="1:13" x14ac:dyDescent="0.25">
      <c r="A6" s="15">
        <v>2</v>
      </c>
      <c r="B6" s="16">
        <v>0.59</v>
      </c>
      <c r="C6" s="17">
        <v>0.54</v>
      </c>
      <c r="D6" s="18">
        <v>0.5</v>
      </c>
      <c r="E6" s="16">
        <v>0.62</v>
      </c>
      <c r="F6" s="17">
        <v>0.62</v>
      </c>
      <c r="G6" s="18">
        <v>0.61</v>
      </c>
      <c r="H6" s="16">
        <v>0.61</v>
      </c>
      <c r="I6" s="17">
        <v>0.59</v>
      </c>
      <c r="J6" s="18">
        <v>0.57999999999999996</v>
      </c>
      <c r="K6" s="16">
        <v>0.67</v>
      </c>
      <c r="L6" s="17">
        <v>0.57999999999999996</v>
      </c>
      <c r="M6" s="18">
        <v>0.52</v>
      </c>
    </row>
    <row r="7" spans="1:13" x14ac:dyDescent="0.25">
      <c r="A7" s="15">
        <v>3</v>
      </c>
      <c r="B7" s="16">
        <v>0.54</v>
      </c>
      <c r="C7" s="17">
        <v>0.49</v>
      </c>
      <c r="D7" s="18">
        <v>0.46</v>
      </c>
      <c r="E7" s="16">
        <v>0.27</v>
      </c>
      <c r="F7" s="17">
        <v>0.56999999999999995</v>
      </c>
      <c r="G7" s="18">
        <v>0.56000000000000005</v>
      </c>
      <c r="H7" s="16">
        <v>0.55000000000000004</v>
      </c>
      <c r="I7" s="17">
        <v>0.54</v>
      </c>
      <c r="J7" s="18">
        <v>0.52</v>
      </c>
      <c r="K7" s="16">
        <v>0.59</v>
      </c>
      <c r="L7" s="17">
        <v>0.5</v>
      </c>
      <c r="M7" s="18">
        <v>0.45</v>
      </c>
    </row>
    <row r="8" spans="1:13" x14ac:dyDescent="0.25">
      <c r="A8" s="15">
        <v>4</v>
      </c>
      <c r="B8" s="16">
        <v>0.51</v>
      </c>
      <c r="C8" s="17">
        <v>0.46</v>
      </c>
      <c r="D8" s="18">
        <v>0.43</v>
      </c>
      <c r="E8" s="16">
        <v>0.53</v>
      </c>
      <c r="F8" s="17">
        <v>0.53</v>
      </c>
      <c r="G8" s="18">
        <v>0.52</v>
      </c>
      <c r="H8" s="16">
        <v>0.51</v>
      </c>
      <c r="I8" s="17">
        <v>0.49</v>
      </c>
      <c r="J8" s="18">
        <v>0.48</v>
      </c>
      <c r="K8" s="16">
        <v>0.52</v>
      </c>
      <c r="L8" s="17">
        <v>0.44</v>
      </c>
      <c r="M8" s="18">
        <v>0.39</v>
      </c>
    </row>
    <row r="9" spans="1:13" x14ac:dyDescent="0.25">
      <c r="A9" s="15">
        <v>5</v>
      </c>
      <c r="B9" s="16">
        <v>0.48</v>
      </c>
      <c r="C9" s="17">
        <v>0.43</v>
      </c>
      <c r="D9" s="18">
        <v>0.4</v>
      </c>
      <c r="E9" s="16">
        <v>0.5</v>
      </c>
      <c r="F9" s="17">
        <v>0.49</v>
      </c>
      <c r="G9" s="18">
        <v>0.49</v>
      </c>
      <c r="H9" s="16">
        <v>0.47</v>
      </c>
      <c r="I9" s="17">
        <v>0.45</v>
      </c>
      <c r="J9" s="18">
        <v>0.44</v>
      </c>
      <c r="K9" s="16">
        <v>0.47</v>
      </c>
      <c r="L9" s="17">
        <v>0.39</v>
      </c>
      <c r="M9" s="18">
        <v>0.34</v>
      </c>
    </row>
    <row r="10" spans="1:13" x14ac:dyDescent="0.25">
      <c r="A10" s="15">
        <v>6</v>
      </c>
      <c r="B10" s="16">
        <v>0.45</v>
      </c>
      <c r="C10" s="17">
        <v>0.4</v>
      </c>
      <c r="D10" s="18">
        <v>0.37</v>
      </c>
      <c r="E10" s="16">
        <v>0.47</v>
      </c>
      <c r="F10" s="17">
        <v>0.46</v>
      </c>
      <c r="G10" s="18">
        <v>0.46</v>
      </c>
      <c r="H10" s="16">
        <v>0.43</v>
      </c>
      <c r="I10" s="17">
        <v>0.42</v>
      </c>
      <c r="J10" s="18">
        <v>0.41</v>
      </c>
      <c r="K10" s="16">
        <v>0.42</v>
      </c>
      <c r="L10" s="17">
        <v>0.35</v>
      </c>
      <c r="M10" s="18">
        <v>0.3</v>
      </c>
    </row>
    <row r="11" spans="1:13" x14ac:dyDescent="0.25">
      <c r="A11" s="15">
        <v>7</v>
      </c>
      <c r="B11" s="16">
        <v>0.42</v>
      </c>
      <c r="C11" s="17">
        <v>0.38</v>
      </c>
      <c r="D11" s="18">
        <v>0.25</v>
      </c>
      <c r="E11" s="16">
        <v>0.44</v>
      </c>
      <c r="F11" s="17">
        <v>0.44</v>
      </c>
      <c r="G11" s="18">
        <v>0.43</v>
      </c>
      <c r="H11" s="16">
        <v>0.4</v>
      </c>
      <c r="I11" s="17">
        <v>0.39</v>
      </c>
      <c r="J11" s="18">
        <v>0.38</v>
      </c>
      <c r="K11" s="16">
        <v>0.38</v>
      </c>
      <c r="L11" s="17">
        <v>0.31</v>
      </c>
      <c r="M11" s="18">
        <v>0.27</v>
      </c>
    </row>
    <row r="12" spans="1:13" x14ac:dyDescent="0.25">
      <c r="A12" s="15">
        <v>8</v>
      </c>
      <c r="B12" s="16">
        <v>0.4</v>
      </c>
      <c r="C12" s="17">
        <v>0.36</v>
      </c>
      <c r="D12" s="18">
        <v>0.33</v>
      </c>
      <c r="E12" s="16">
        <v>0.42</v>
      </c>
      <c r="F12" s="17">
        <v>0.41</v>
      </c>
      <c r="G12" s="18">
        <v>0.41</v>
      </c>
      <c r="H12" s="16">
        <v>0.38</v>
      </c>
      <c r="I12" s="17">
        <v>0.36</v>
      </c>
      <c r="J12" s="18">
        <v>0.35</v>
      </c>
      <c r="K12" s="16">
        <v>0.35</v>
      </c>
      <c r="L12" s="17">
        <v>0.28000000000000003</v>
      </c>
      <c r="M12" s="18">
        <v>0.24</v>
      </c>
    </row>
    <row r="13" spans="1:13" x14ac:dyDescent="0.25">
      <c r="A13" s="15">
        <v>9</v>
      </c>
      <c r="B13" s="16">
        <v>0.38</v>
      </c>
      <c r="C13" s="17">
        <v>0.34</v>
      </c>
      <c r="D13" s="18">
        <v>0.31</v>
      </c>
      <c r="E13" s="16">
        <v>0.4</v>
      </c>
      <c r="F13" s="17">
        <v>0.39</v>
      </c>
      <c r="G13" s="18">
        <v>0.39</v>
      </c>
      <c r="H13" s="16">
        <v>0.35</v>
      </c>
      <c r="I13" s="17">
        <v>0.34</v>
      </c>
      <c r="J13" s="18">
        <v>0.33</v>
      </c>
      <c r="K13" s="16">
        <v>0.31</v>
      </c>
      <c r="L13" s="17">
        <v>0.25</v>
      </c>
      <c r="M13" s="18">
        <v>0.21</v>
      </c>
    </row>
    <row r="14" spans="1:13" x14ac:dyDescent="0.25">
      <c r="A14" s="15">
        <v>10</v>
      </c>
      <c r="B14" s="16">
        <v>0.36</v>
      </c>
      <c r="C14" s="17">
        <v>0.32</v>
      </c>
      <c r="D14" s="18">
        <v>0.3</v>
      </c>
      <c r="E14" s="16">
        <v>0.38</v>
      </c>
      <c r="F14" s="17">
        <v>0.37</v>
      </c>
      <c r="G14" s="18">
        <v>0.37</v>
      </c>
      <c r="H14" s="16">
        <v>0.33</v>
      </c>
      <c r="I14" s="17">
        <v>0.32</v>
      </c>
      <c r="J14" s="18">
        <v>0.31</v>
      </c>
      <c r="K14" s="16">
        <v>0.28000000000000003</v>
      </c>
      <c r="L14" s="17">
        <v>0.23</v>
      </c>
      <c r="M14" s="18">
        <v>0.19</v>
      </c>
    </row>
    <row r="15" spans="1:13" x14ac:dyDescent="0.25">
      <c r="A15" s="15">
        <v>11</v>
      </c>
      <c r="B15" s="16">
        <v>0.35</v>
      </c>
      <c r="C15" s="17">
        <v>0.31</v>
      </c>
      <c r="D15" s="18">
        <v>0.28000000000000003</v>
      </c>
      <c r="E15" s="16">
        <v>0.36</v>
      </c>
      <c r="F15" s="17">
        <v>0.35</v>
      </c>
      <c r="G15" s="18">
        <v>0.35</v>
      </c>
      <c r="H15" s="16">
        <v>0.31</v>
      </c>
      <c r="I15" s="17">
        <v>0.3</v>
      </c>
      <c r="J15" s="18">
        <v>0.28999999999999998</v>
      </c>
      <c r="K15" s="16">
        <v>0.26</v>
      </c>
      <c r="L15" s="17">
        <v>0.2</v>
      </c>
      <c r="M15" s="18">
        <v>0.17</v>
      </c>
    </row>
    <row r="16" spans="1:13" x14ac:dyDescent="0.25">
      <c r="A16" s="15">
        <v>12</v>
      </c>
      <c r="B16" s="16">
        <v>0.33</v>
      </c>
      <c r="C16" s="17">
        <v>0.28999999999999998</v>
      </c>
      <c r="D16" s="18">
        <v>0.27</v>
      </c>
      <c r="E16" s="16">
        <v>0.34</v>
      </c>
      <c r="F16" s="17">
        <v>0.34</v>
      </c>
      <c r="G16" s="18">
        <v>0.33</v>
      </c>
      <c r="H16" s="16">
        <v>0.28999999999999998</v>
      </c>
      <c r="I16" s="17">
        <v>0.28000000000000003</v>
      </c>
      <c r="J16" s="18">
        <v>0.27</v>
      </c>
      <c r="K16" s="16">
        <v>0.23</v>
      </c>
      <c r="L16" s="17">
        <v>0.18</v>
      </c>
      <c r="M16" s="18">
        <v>0.15</v>
      </c>
    </row>
    <row r="17" spans="1:14" x14ac:dyDescent="0.25">
      <c r="A17" s="15">
        <v>13</v>
      </c>
      <c r="B17" s="16">
        <v>0.32</v>
      </c>
      <c r="C17" s="17">
        <v>0.28000000000000003</v>
      </c>
      <c r="D17" s="18">
        <v>0.25</v>
      </c>
      <c r="E17" s="16">
        <v>0.33</v>
      </c>
      <c r="F17" s="17">
        <v>0.32</v>
      </c>
      <c r="G17" s="18">
        <v>0.32</v>
      </c>
      <c r="H17" s="16">
        <v>0.27</v>
      </c>
      <c r="I17" s="17">
        <v>0.26</v>
      </c>
      <c r="J17" s="18">
        <v>0.25</v>
      </c>
      <c r="K17" s="16">
        <v>0.21</v>
      </c>
      <c r="L17" s="17">
        <v>0.16</v>
      </c>
      <c r="M17" s="18">
        <v>0.13</v>
      </c>
    </row>
    <row r="18" spans="1:14" x14ac:dyDescent="0.25">
      <c r="A18" s="15">
        <v>14</v>
      </c>
      <c r="B18" s="16">
        <v>0.3</v>
      </c>
      <c r="C18" s="17">
        <v>0.27</v>
      </c>
      <c r="D18" s="18">
        <v>0.24</v>
      </c>
      <c r="E18" s="16">
        <v>0.31</v>
      </c>
      <c r="F18" s="17">
        <v>0.31</v>
      </c>
      <c r="G18" s="18">
        <v>0.3</v>
      </c>
      <c r="H18" s="16">
        <v>0.25</v>
      </c>
      <c r="I18" s="17">
        <v>0.24</v>
      </c>
      <c r="J18" s="18">
        <v>0.24</v>
      </c>
      <c r="K18" s="16">
        <v>0.19</v>
      </c>
      <c r="L18" s="17">
        <v>0.14000000000000001</v>
      </c>
      <c r="M18" s="18">
        <v>0.12</v>
      </c>
    </row>
    <row r="19" spans="1:14" x14ac:dyDescent="0.25">
      <c r="A19" s="15">
        <v>15</v>
      </c>
      <c r="B19" s="16">
        <v>0.28999999999999998</v>
      </c>
      <c r="C19" s="17">
        <v>0.25</v>
      </c>
      <c r="D19" s="18">
        <v>0.23</v>
      </c>
      <c r="E19" s="16">
        <v>0.3</v>
      </c>
      <c r="F19" s="17">
        <v>0.28999999999999998</v>
      </c>
      <c r="G19" s="18">
        <v>0.28999999999999998</v>
      </c>
      <c r="H19" s="16">
        <v>0.24</v>
      </c>
      <c r="I19" s="17">
        <v>0.23</v>
      </c>
      <c r="J19" s="18">
        <v>0.22</v>
      </c>
      <c r="K19" s="16">
        <v>0.17</v>
      </c>
      <c r="L19" s="17">
        <v>0.13</v>
      </c>
      <c r="M19" s="18">
        <v>0.1</v>
      </c>
    </row>
    <row r="20" spans="1:14" x14ac:dyDescent="0.25">
      <c r="A20" s="15">
        <v>16</v>
      </c>
      <c r="B20" s="16">
        <v>0.28000000000000003</v>
      </c>
      <c r="C20" s="17">
        <v>0.24</v>
      </c>
      <c r="D20" s="18">
        <v>0.22</v>
      </c>
      <c r="E20" s="16">
        <v>0.28000000000000003</v>
      </c>
      <c r="F20" s="17">
        <v>0.28000000000000003</v>
      </c>
      <c r="G20" s="18">
        <v>0.27</v>
      </c>
      <c r="H20" s="16">
        <v>0.22</v>
      </c>
      <c r="I20" s="17">
        <v>0.21</v>
      </c>
      <c r="J20" s="18">
        <v>0.21</v>
      </c>
      <c r="K20" s="16">
        <v>0.16</v>
      </c>
      <c r="L20" s="17">
        <v>0.11</v>
      </c>
      <c r="M20" s="18">
        <v>0.09</v>
      </c>
    </row>
    <row r="21" spans="1:14" x14ac:dyDescent="0.25">
      <c r="A21" s="15">
        <v>17</v>
      </c>
      <c r="B21" s="16">
        <v>0.26</v>
      </c>
      <c r="C21" s="17">
        <v>0.23</v>
      </c>
      <c r="D21" s="18">
        <v>0.21</v>
      </c>
      <c r="E21" s="16">
        <v>0.27</v>
      </c>
      <c r="F21" s="17">
        <v>0.27</v>
      </c>
      <c r="G21" s="18">
        <v>0.26</v>
      </c>
      <c r="H21" s="16">
        <v>0.21</v>
      </c>
      <c r="I21" s="17">
        <v>0.2</v>
      </c>
      <c r="J21" s="18">
        <v>0.19</v>
      </c>
      <c r="K21" s="16">
        <v>0.14000000000000001</v>
      </c>
      <c r="L21" s="17">
        <v>0.1</v>
      </c>
      <c r="M21" s="18">
        <v>0.08</v>
      </c>
    </row>
    <row r="22" spans="1:14" x14ac:dyDescent="0.25">
      <c r="A22" s="15">
        <v>18</v>
      </c>
      <c r="B22" s="16">
        <v>0.25</v>
      </c>
      <c r="C22" s="17">
        <v>0.22</v>
      </c>
      <c r="D22" s="18">
        <v>0.2</v>
      </c>
      <c r="E22" s="16">
        <v>0.26</v>
      </c>
      <c r="F22" s="17">
        <v>0.25</v>
      </c>
      <c r="G22" s="18">
        <v>0.25</v>
      </c>
      <c r="H22" s="16">
        <v>0.2</v>
      </c>
      <c r="I22" s="17">
        <v>0.19</v>
      </c>
      <c r="J22" s="18">
        <v>0.18</v>
      </c>
      <c r="K22" s="16">
        <v>0.13</v>
      </c>
      <c r="L22" s="17">
        <v>0.09</v>
      </c>
      <c r="M22" s="18">
        <v>7.0000000000000007E-2</v>
      </c>
    </row>
    <row r="23" spans="1:14" x14ac:dyDescent="0.25">
      <c r="A23" s="15">
        <v>19</v>
      </c>
      <c r="B23" s="16">
        <v>0.24</v>
      </c>
      <c r="C23" s="17">
        <v>0.21</v>
      </c>
      <c r="D23" s="18">
        <v>0.19</v>
      </c>
      <c r="E23" s="16">
        <v>0.25</v>
      </c>
      <c r="F23" s="17">
        <v>0.24</v>
      </c>
      <c r="G23" s="18">
        <v>0.24</v>
      </c>
      <c r="H23" s="16">
        <v>0.19</v>
      </c>
      <c r="I23" s="17">
        <v>0.18</v>
      </c>
      <c r="J23" s="18">
        <v>0.17</v>
      </c>
      <c r="K23" s="16">
        <v>0.11</v>
      </c>
      <c r="L23" s="17">
        <v>0.08</v>
      </c>
      <c r="M23" s="18">
        <v>0.06</v>
      </c>
    </row>
    <row r="24" spans="1:14" ht="14.25" thickBot="1" x14ac:dyDescent="0.3">
      <c r="A24" s="15">
        <v>20</v>
      </c>
      <c r="B24" s="16">
        <v>0.23</v>
      </c>
      <c r="C24" s="17">
        <v>0.2</v>
      </c>
      <c r="D24" s="18">
        <v>0.18</v>
      </c>
      <c r="E24" s="16">
        <v>0.24</v>
      </c>
      <c r="F24" s="17">
        <v>0.23</v>
      </c>
      <c r="G24" s="18">
        <v>0.23</v>
      </c>
      <c r="H24" s="16">
        <v>0.17</v>
      </c>
      <c r="I24" s="17">
        <v>0.17</v>
      </c>
      <c r="J24" s="18">
        <v>0.16</v>
      </c>
      <c r="K24" s="16">
        <v>0.1</v>
      </c>
      <c r="L24" s="17">
        <v>7.0000000000000007E-2</v>
      </c>
      <c r="M24" s="18">
        <v>0.05</v>
      </c>
    </row>
    <row r="25" spans="1:14" ht="14.25" thickBot="1" x14ac:dyDescent="0.3">
      <c r="A25" s="292" t="s">
        <v>7</v>
      </c>
      <c r="B25" s="292"/>
      <c r="C25" s="292"/>
      <c r="D25" s="292"/>
      <c r="E25" s="292"/>
      <c r="F25" s="292"/>
      <c r="G25" s="292"/>
      <c r="H25" s="292"/>
      <c r="I25" s="292"/>
      <c r="J25" s="292"/>
      <c r="K25" s="292"/>
      <c r="L25" s="292"/>
      <c r="M25" s="292"/>
    </row>
    <row r="26" spans="1:14" x14ac:dyDescent="0.25">
      <c r="A26" s="19"/>
      <c r="B26" s="20"/>
      <c r="C26" s="20"/>
      <c r="D26" s="20"/>
      <c r="E26" s="20"/>
      <c r="F26" s="20"/>
      <c r="G26" s="20"/>
      <c r="H26" s="20"/>
      <c r="I26" s="20"/>
      <c r="J26" s="20"/>
      <c r="K26" s="20"/>
      <c r="L26" s="21"/>
      <c r="M26" s="21"/>
    </row>
    <row r="27" spans="1:14" ht="24.75" thickBot="1" x14ac:dyDescent="0.45">
      <c r="A27" s="291" t="s">
        <v>8</v>
      </c>
      <c r="B27" s="291"/>
      <c r="C27" s="291"/>
      <c r="D27" s="291"/>
      <c r="E27" s="291"/>
      <c r="F27" s="291"/>
      <c r="G27" s="291"/>
      <c r="H27" s="291"/>
      <c r="I27" s="291"/>
      <c r="J27" s="22"/>
      <c r="K27" s="22"/>
      <c r="L27" s="22"/>
      <c r="M27" s="22"/>
    </row>
    <row r="28" spans="1:14" ht="41.25" thickBot="1" x14ac:dyDescent="0.3">
      <c r="A28" s="23" t="s">
        <v>6</v>
      </c>
      <c r="B28" s="24" t="s">
        <v>9</v>
      </c>
      <c r="C28" s="25" t="s">
        <v>10</v>
      </c>
      <c r="D28" s="25" t="s">
        <v>11</v>
      </c>
      <c r="E28" s="25" t="s">
        <v>12</v>
      </c>
      <c r="F28" s="24" t="s">
        <v>13</v>
      </c>
      <c r="G28" s="25" t="s">
        <v>14</v>
      </c>
      <c r="H28" s="24" t="s">
        <v>15</v>
      </c>
      <c r="I28" s="24" t="s">
        <v>16</v>
      </c>
      <c r="J28" s="26"/>
      <c r="K28" s="26"/>
      <c r="L28" s="27"/>
      <c r="M28" s="28"/>
      <c r="N28" s="27"/>
    </row>
    <row r="29" spans="1:14" x14ac:dyDescent="0.25">
      <c r="A29" s="15">
        <v>1</v>
      </c>
      <c r="B29" s="29">
        <v>0.47</v>
      </c>
      <c r="C29" s="29">
        <v>0.61</v>
      </c>
      <c r="D29" s="29">
        <v>0.65</v>
      </c>
      <c r="E29" s="29">
        <v>0.47</v>
      </c>
      <c r="F29" s="29">
        <v>0.56000000000000005</v>
      </c>
      <c r="G29" s="29">
        <v>0.49</v>
      </c>
      <c r="H29" s="29">
        <v>0.42</v>
      </c>
      <c r="I29" s="29">
        <v>0.69</v>
      </c>
      <c r="J29" s="20"/>
      <c r="K29" s="20"/>
      <c r="L29" s="2"/>
      <c r="M29" s="19"/>
      <c r="N29" s="30"/>
    </row>
    <row r="30" spans="1:14" x14ac:dyDescent="0.25">
      <c r="A30" s="15">
        <v>2</v>
      </c>
      <c r="B30" s="29">
        <v>0.44</v>
      </c>
      <c r="C30" s="29">
        <v>0.54</v>
      </c>
      <c r="D30" s="29">
        <v>0.6</v>
      </c>
      <c r="E30" s="29">
        <v>0.44</v>
      </c>
      <c r="F30" s="29">
        <v>0.5</v>
      </c>
      <c r="G30" s="29">
        <v>0.44</v>
      </c>
      <c r="H30" s="29">
        <v>0.39</v>
      </c>
      <c r="I30" s="29">
        <v>0.62</v>
      </c>
      <c r="J30" s="20"/>
      <c r="K30" s="20"/>
      <c r="L30" s="2"/>
      <c r="M30" s="19"/>
      <c r="N30" s="30"/>
    </row>
    <row r="31" spans="1:14" x14ac:dyDescent="0.25">
      <c r="A31" s="15">
        <v>3</v>
      </c>
      <c r="B31" s="29">
        <v>0.42</v>
      </c>
      <c r="C31" s="29">
        <v>0.49</v>
      </c>
      <c r="D31" s="29">
        <v>0.56000000000000005</v>
      </c>
      <c r="E31" s="29">
        <v>0.41</v>
      </c>
      <c r="F31" s="29">
        <v>0.46</v>
      </c>
      <c r="G31" s="29">
        <v>0.4</v>
      </c>
      <c r="H31" s="29">
        <v>0.36</v>
      </c>
      <c r="I31" s="29">
        <v>0.56000000000000005</v>
      </c>
      <c r="J31" s="31"/>
      <c r="K31" s="31"/>
      <c r="L31" s="2"/>
      <c r="M31" s="19"/>
      <c r="N31" s="30"/>
    </row>
    <row r="32" spans="1:14" x14ac:dyDescent="0.25">
      <c r="A32" s="15">
        <v>4</v>
      </c>
      <c r="B32" s="29">
        <v>0.4</v>
      </c>
      <c r="C32" s="29">
        <v>0.45</v>
      </c>
      <c r="D32" s="29">
        <v>0.53</v>
      </c>
      <c r="E32" s="29">
        <v>0.39</v>
      </c>
      <c r="F32" s="29">
        <v>0.42</v>
      </c>
      <c r="G32" s="29">
        <v>0.37</v>
      </c>
      <c r="H32" s="29">
        <v>0.34</v>
      </c>
      <c r="I32" s="29">
        <v>0.52</v>
      </c>
      <c r="J32" s="31"/>
      <c r="K32" s="31"/>
      <c r="L32" s="2"/>
      <c r="M32" s="19"/>
      <c r="N32" s="30"/>
    </row>
    <row r="33" spans="1:25" x14ac:dyDescent="0.25">
      <c r="A33" s="15">
        <v>5</v>
      </c>
      <c r="B33" s="29">
        <v>0.39</v>
      </c>
      <c r="C33" s="29">
        <v>0.42</v>
      </c>
      <c r="D33" s="29">
        <v>0.5</v>
      </c>
      <c r="E33" s="29">
        <v>0.37</v>
      </c>
      <c r="F33" s="29">
        <v>0.39</v>
      </c>
      <c r="G33" s="29">
        <v>0.35</v>
      </c>
      <c r="H33" s="29">
        <v>0.33</v>
      </c>
      <c r="I33" s="29">
        <v>0.48</v>
      </c>
      <c r="J33" s="31"/>
      <c r="K33" s="31"/>
      <c r="L33" s="2"/>
      <c r="M33" s="19"/>
      <c r="N33" s="30"/>
    </row>
    <row r="34" spans="1:25" s="38" customFormat="1" ht="13.5" customHeight="1" x14ac:dyDescent="0.25">
      <c r="A34" s="32">
        <v>6</v>
      </c>
      <c r="B34" s="33">
        <v>0.38</v>
      </c>
      <c r="C34" s="33">
        <v>0.39</v>
      </c>
      <c r="D34" s="33">
        <v>0.48</v>
      </c>
      <c r="E34" s="33">
        <v>0.35</v>
      </c>
      <c r="F34" s="33">
        <v>0.37</v>
      </c>
      <c r="G34" s="33">
        <v>0.32</v>
      </c>
      <c r="H34" s="33">
        <v>0.31</v>
      </c>
      <c r="I34" s="33">
        <v>0.45</v>
      </c>
      <c r="J34" s="34"/>
      <c r="K34" s="34"/>
      <c r="L34" s="35"/>
      <c r="M34" s="36"/>
      <c r="N34" s="37"/>
      <c r="R34" s="39"/>
      <c r="Y34" s="35"/>
    </row>
    <row r="35" spans="1:25" x14ac:dyDescent="0.25">
      <c r="A35" s="15">
        <v>7</v>
      </c>
      <c r="B35" s="29">
        <v>0.36</v>
      </c>
      <c r="C35" s="29">
        <v>0.36</v>
      </c>
      <c r="D35" s="29">
        <v>0.46</v>
      </c>
      <c r="E35" s="29">
        <v>0.33</v>
      </c>
      <c r="F35" s="29">
        <v>0.34</v>
      </c>
      <c r="G35" s="29">
        <v>0.3</v>
      </c>
      <c r="H35" s="29">
        <v>0.3</v>
      </c>
      <c r="I35" s="29">
        <v>0.42</v>
      </c>
      <c r="J35" s="31"/>
      <c r="K35" s="31"/>
      <c r="L35" s="2"/>
      <c r="M35" s="19"/>
      <c r="N35" s="30"/>
    </row>
    <row r="36" spans="1:25" x14ac:dyDescent="0.25">
      <c r="A36" s="15">
        <v>8</v>
      </c>
      <c r="B36" s="29">
        <v>0.35</v>
      </c>
      <c r="C36" s="29">
        <v>0.34</v>
      </c>
      <c r="D36" s="29">
        <v>0.44</v>
      </c>
      <c r="E36" s="29">
        <v>0.32</v>
      </c>
      <c r="F36" s="29">
        <v>0.32</v>
      </c>
      <c r="G36" s="29">
        <v>0.28000000000000003</v>
      </c>
      <c r="H36" s="29">
        <v>0.28999999999999998</v>
      </c>
      <c r="I36" s="29">
        <v>0.4</v>
      </c>
      <c r="J36" s="31"/>
      <c r="K36" s="31"/>
      <c r="L36" s="2"/>
      <c r="M36" s="19"/>
      <c r="N36" s="30"/>
    </row>
    <row r="37" spans="1:25" x14ac:dyDescent="0.25">
      <c r="A37" s="15">
        <v>9</v>
      </c>
      <c r="B37" s="29">
        <v>0.34</v>
      </c>
      <c r="C37" s="29">
        <v>0.31</v>
      </c>
      <c r="D37" s="29">
        <v>0.42</v>
      </c>
      <c r="E37" s="29">
        <v>0.31</v>
      </c>
      <c r="F37" s="29">
        <v>0.3</v>
      </c>
      <c r="G37" s="29">
        <v>0.27</v>
      </c>
      <c r="H37" s="29">
        <v>0.27</v>
      </c>
      <c r="I37" s="29">
        <v>0.37</v>
      </c>
      <c r="J37" s="31"/>
      <c r="K37" s="31"/>
      <c r="L37" s="2"/>
      <c r="M37" s="19"/>
      <c r="N37" s="30"/>
    </row>
    <row r="38" spans="1:25" x14ac:dyDescent="0.25">
      <c r="A38" s="15">
        <v>10</v>
      </c>
      <c r="B38" s="29">
        <v>0.33</v>
      </c>
      <c r="C38" s="29">
        <v>0.3</v>
      </c>
      <c r="D38" s="29">
        <v>0.4</v>
      </c>
      <c r="E38" s="29">
        <v>0.3</v>
      </c>
      <c r="F38" s="29">
        <v>0.28000000000000003</v>
      </c>
      <c r="G38" s="29">
        <v>0.25</v>
      </c>
      <c r="H38" s="29">
        <v>0.26</v>
      </c>
      <c r="I38" s="29">
        <v>0.35</v>
      </c>
      <c r="J38" s="31"/>
      <c r="K38" s="31"/>
      <c r="L38" s="2"/>
      <c r="M38" s="19"/>
      <c r="N38" s="30"/>
    </row>
    <row r="39" spans="1:25" x14ac:dyDescent="0.25">
      <c r="A39" s="15">
        <v>11</v>
      </c>
      <c r="B39" s="29">
        <v>0.32</v>
      </c>
      <c r="C39" s="29">
        <v>0.28000000000000003</v>
      </c>
      <c r="D39" s="29">
        <v>0.39</v>
      </c>
      <c r="E39" s="29">
        <v>0.28000000000000003</v>
      </c>
      <c r="F39" s="29">
        <v>0.27</v>
      </c>
      <c r="G39" s="29">
        <v>0.24</v>
      </c>
      <c r="H39" s="29">
        <v>0.25</v>
      </c>
      <c r="I39" s="29">
        <v>0.33</v>
      </c>
      <c r="J39" s="31"/>
      <c r="K39" s="31"/>
      <c r="L39" s="2"/>
      <c r="M39" s="19"/>
      <c r="N39" s="30"/>
    </row>
    <row r="40" spans="1:25" x14ac:dyDescent="0.25">
      <c r="A40" s="15">
        <v>12</v>
      </c>
      <c r="B40" s="29">
        <v>0.32</v>
      </c>
      <c r="C40" s="29">
        <v>0.26</v>
      </c>
      <c r="D40" s="29">
        <v>0.38</v>
      </c>
      <c r="E40" s="29">
        <v>0.27</v>
      </c>
      <c r="F40" s="29">
        <v>0.25</v>
      </c>
      <c r="G40" s="29">
        <v>0.23</v>
      </c>
      <c r="H40" s="29">
        <v>0.24</v>
      </c>
      <c r="I40" s="29">
        <v>0.31</v>
      </c>
      <c r="J40" s="31"/>
      <c r="K40" s="31"/>
      <c r="L40" s="2"/>
      <c r="M40" s="19"/>
      <c r="N40" s="30"/>
    </row>
    <row r="41" spans="1:25" x14ac:dyDescent="0.25">
      <c r="A41" s="15">
        <v>13</v>
      </c>
      <c r="B41" s="29">
        <v>0.31</v>
      </c>
      <c r="C41" s="29">
        <v>0.24</v>
      </c>
      <c r="D41" s="29">
        <v>0.36</v>
      </c>
      <c r="E41" s="29">
        <v>0.26</v>
      </c>
      <c r="F41" s="29">
        <v>0.24</v>
      </c>
      <c r="G41" s="29">
        <v>0.21</v>
      </c>
      <c r="H41" s="29">
        <v>0.24</v>
      </c>
      <c r="I41" s="29">
        <v>0.28999999999999998</v>
      </c>
      <c r="J41" s="31"/>
      <c r="K41" s="31"/>
      <c r="L41" s="2"/>
      <c r="M41" s="19"/>
      <c r="N41" s="30"/>
    </row>
    <row r="42" spans="1:25" x14ac:dyDescent="0.25">
      <c r="A42" s="15">
        <v>14</v>
      </c>
      <c r="B42" s="29">
        <v>0.3</v>
      </c>
      <c r="C42" s="29">
        <v>0.23</v>
      </c>
      <c r="D42" s="29">
        <v>0.35</v>
      </c>
      <c r="E42" s="29">
        <v>0.26</v>
      </c>
      <c r="F42" s="29">
        <v>0.22</v>
      </c>
      <c r="G42" s="29">
        <v>0.2</v>
      </c>
      <c r="H42" s="29">
        <v>0.23</v>
      </c>
      <c r="I42" s="29">
        <v>0.28000000000000003</v>
      </c>
      <c r="J42" s="31"/>
      <c r="K42" s="31"/>
      <c r="L42" s="2"/>
      <c r="M42" s="19"/>
      <c r="N42" s="30"/>
    </row>
    <row r="43" spans="1:25" x14ac:dyDescent="0.25">
      <c r="A43" s="15">
        <v>15</v>
      </c>
      <c r="B43" s="29">
        <v>0.28999999999999998</v>
      </c>
      <c r="C43" s="29">
        <v>0.22</v>
      </c>
      <c r="D43" s="29">
        <v>0.34</v>
      </c>
      <c r="E43" s="29">
        <v>0.25</v>
      </c>
      <c r="F43" s="29">
        <v>0.21</v>
      </c>
      <c r="G43" s="29">
        <v>0.19</v>
      </c>
      <c r="H43" s="29">
        <v>0.22</v>
      </c>
      <c r="I43" s="29">
        <v>0.26</v>
      </c>
      <c r="J43" s="31"/>
      <c r="K43" s="31"/>
      <c r="L43" s="2"/>
      <c r="M43" s="19"/>
      <c r="N43" s="30"/>
    </row>
    <row r="44" spans="1:25" x14ac:dyDescent="0.25">
      <c r="A44" s="15">
        <v>16</v>
      </c>
      <c r="B44" s="29">
        <v>0.28999999999999998</v>
      </c>
      <c r="C44" s="29">
        <v>0.2</v>
      </c>
      <c r="D44" s="29">
        <v>0.33</v>
      </c>
      <c r="E44" s="29">
        <v>0.24</v>
      </c>
      <c r="F44" s="29">
        <v>0.2</v>
      </c>
      <c r="G44" s="29">
        <v>0.18</v>
      </c>
      <c r="H44" s="29">
        <v>0.21</v>
      </c>
      <c r="I44" s="29">
        <v>0.25</v>
      </c>
      <c r="J44" s="31"/>
      <c r="K44" s="31"/>
      <c r="L44" s="2"/>
      <c r="M44" s="19"/>
      <c r="N44" s="30"/>
    </row>
    <row r="45" spans="1:25" x14ac:dyDescent="0.25">
      <c r="A45" s="15">
        <v>17</v>
      </c>
      <c r="B45" s="29">
        <v>0.28000000000000003</v>
      </c>
      <c r="C45" s="29">
        <v>0.19</v>
      </c>
      <c r="D45" s="29">
        <v>0.32</v>
      </c>
      <c r="E45" s="29">
        <v>0.23</v>
      </c>
      <c r="F45" s="29">
        <v>0.19</v>
      </c>
      <c r="G45" s="29">
        <v>0.17</v>
      </c>
      <c r="H45" s="29">
        <v>0.2</v>
      </c>
      <c r="I45" s="29">
        <v>0.24</v>
      </c>
      <c r="J45" s="31"/>
      <c r="K45" s="31"/>
      <c r="L45" s="2"/>
      <c r="M45" s="19"/>
      <c r="N45" s="30"/>
    </row>
    <row r="46" spans="1:25" x14ac:dyDescent="0.25">
      <c r="A46" s="15">
        <v>18</v>
      </c>
      <c r="B46" s="29">
        <v>0.27</v>
      </c>
      <c r="C46" s="29">
        <v>0.18</v>
      </c>
      <c r="D46" s="29">
        <v>0.3</v>
      </c>
      <c r="E46" s="29">
        <v>0.22</v>
      </c>
      <c r="F46" s="29">
        <v>0.18</v>
      </c>
      <c r="G46" s="29">
        <v>0.16</v>
      </c>
      <c r="H46" s="29">
        <v>0.2</v>
      </c>
      <c r="I46" s="29">
        <v>0.22</v>
      </c>
      <c r="J46" s="31"/>
      <c r="K46" s="31"/>
      <c r="L46" s="2"/>
      <c r="M46" s="19"/>
      <c r="N46" s="30"/>
    </row>
    <row r="47" spans="1:25" x14ac:dyDescent="0.25">
      <c r="A47" s="15">
        <v>19</v>
      </c>
      <c r="B47" s="29">
        <v>0.27</v>
      </c>
      <c r="C47" s="29">
        <v>0.17</v>
      </c>
      <c r="D47" s="29">
        <v>0.28999999999999998</v>
      </c>
      <c r="E47" s="29">
        <v>0.22</v>
      </c>
      <c r="F47" s="29">
        <v>0.17</v>
      </c>
      <c r="G47" s="29">
        <v>0.16</v>
      </c>
      <c r="H47" s="29">
        <v>0.19</v>
      </c>
      <c r="I47" s="29">
        <v>0.21</v>
      </c>
      <c r="J47" s="31"/>
      <c r="K47" s="31"/>
      <c r="L47" s="2"/>
      <c r="M47" s="19"/>
      <c r="N47" s="30"/>
    </row>
    <row r="48" spans="1:25" ht="14.25" thickBot="1" x14ac:dyDescent="0.3">
      <c r="A48" s="15">
        <v>20</v>
      </c>
      <c r="B48" s="29">
        <v>0.26</v>
      </c>
      <c r="C48" s="29">
        <v>0.16</v>
      </c>
      <c r="D48" s="29">
        <v>0.28999999999999998</v>
      </c>
      <c r="E48" s="29">
        <v>0.21</v>
      </c>
      <c r="F48" s="29">
        <v>0.16</v>
      </c>
      <c r="G48" s="29">
        <v>0.15</v>
      </c>
      <c r="H48" s="29">
        <v>0.19</v>
      </c>
      <c r="I48" s="29">
        <v>0.2</v>
      </c>
      <c r="J48" s="31"/>
      <c r="K48" s="31"/>
      <c r="L48" s="2"/>
      <c r="M48" s="19"/>
      <c r="N48" s="30"/>
    </row>
    <row r="49" spans="1:14" ht="14.25" thickBot="1" x14ac:dyDescent="0.3">
      <c r="A49" s="292" t="s">
        <v>7</v>
      </c>
      <c r="B49" s="292"/>
      <c r="C49" s="292"/>
      <c r="D49" s="292"/>
      <c r="E49" s="292"/>
      <c r="F49" s="292"/>
      <c r="G49" s="292"/>
      <c r="H49" s="292"/>
      <c r="I49" s="292"/>
      <c r="J49" s="31"/>
      <c r="K49" s="31"/>
      <c r="L49" s="2"/>
      <c r="N49" s="30"/>
    </row>
    <row r="50" spans="1:14" x14ac:dyDescent="0.25">
      <c r="L50" s="2"/>
      <c r="N50" s="30"/>
    </row>
    <row r="51" spans="1:14" x14ac:dyDescent="0.25">
      <c r="L51" s="2"/>
      <c r="N51" s="30"/>
    </row>
    <row r="52" spans="1:14" x14ac:dyDescent="0.25">
      <c r="L52" s="2"/>
      <c r="N52" s="30"/>
    </row>
    <row r="53" spans="1:14" x14ac:dyDescent="0.25">
      <c r="L53" s="2"/>
      <c r="N53" s="30"/>
    </row>
    <row r="54" spans="1:14" x14ac:dyDescent="0.25">
      <c r="L54" s="2"/>
      <c r="N54" s="30"/>
    </row>
    <row r="55" spans="1:14" x14ac:dyDescent="0.25">
      <c r="L55" s="2"/>
      <c r="N55" s="30"/>
    </row>
    <row r="56" spans="1:14" x14ac:dyDescent="0.25">
      <c r="L56" s="2"/>
      <c r="N56" s="30"/>
    </row>
    <row r="57" spans="1:14" x14ac:dyDescent="0.25">
      <c r="L57" s="2"/>
      <c r="N57" s="30"/>
    </row>
    <row r="58" spans="1:14" x14ac:dyDescent="0.25">
      <c r="L58" s="2"/>
      <c r="N58" s="30"/>
    </row>
    <row r="59" spans="1:14" x14ac:dyDescent="0.25">
      <c r="L59" s="2"/>
      <c r="N59" s="30"/>
    </row>
    <row r="60" spans="1:14" x14ac:dyDescent="0.25">
      <c r="L60" s="2"/>
      <c r="N60" s="30"/>
    </row>
    <row r="61" spans="1:14" x14ac:dyDescent="0.25">
      <c r="L61" s="2"/>
      <c r="N61" s="30"/>
    </row>
    <row r="62" spans="1:14" x14ac:dyDescent="0.25">
      <c r="L62" s="2"/>
      <c r="N62" s="30"/>
    </row>
    <row r="63" spans="1:14" x14ac:dyDescent="0.25">
      <c r="L63" s="2"/>
      <c r="N63" s="30"/>
    </row>
    <row r="64" spans="1:14" x14ac:dyDescent="0.25">
      <c r="L64" s="2"/>
      <c r="N64" s="30"/>
    </row>
    <row r="65" spans="12:14" x14ac:dyDescent="0.25">
      <c r="L65" s="2"/>
      <c r="N65" s="30"/>
    </row>
    <row r="66" spans="12:14" x14ac:dyDescent="0.25">
      <c r="L66" s="2"/>
      <c r="N66" s="30"/>
    </row>
    <row r="67" spans="12:14" x14ac:dyDescent="0.25">
      <c r="L67" s="2"/>
      <c r="N67" s="30"/>
    </row>
    <row r="68" spans="12:14" x14ac:dyDescent="0.25">
      <c r="L68" s="2"/>
      <c r="N68" s="30"/>
    </row>
    <row r="69" spans="12:14" x14ac:dyDescent="0.25">
      <c r="L69" s="2"/>
      <c r="N69" s="30"/>
    </row>
    <row r="70" spans="12:14" x14ac:dyDescent="0.25">
      <c r="L70" s="2"/>
      <c r="N70" s="30"/>
    </row>
    <row r="71" spans="12:14" x14ac:dyDescent="0.25">
      <c r="L71" s="2"/>
      <c r="N71" s="30"/>
    </row>
    <row r="72" spans="12:14" x14ac:dyDescent="0.25">
      <c r="L72" s="2"/>
      <c r="N72" s="30"/>
    </row>
    <row r="73" spans="12:14" x14ac:dyDescent="0.25">
      <c r="L73" s="2"/>
      <c r="N73" s="30"/>
    </row>
    <row r="74" spans="12:14" x14ac:dyDescent="0.25">
      <c r="N74" s="30"/>
    </row>
    <row r="75" spans="12:14" x14ac:dyDescent="0.25">
      <c r="N75" s="30"/>
    </row>
    <row r="76" spans="12:14" x14ac:dyDescent="0.25">
      <c r="N76" s="30"/>
    </row>
    <row r="77" spans="12:14" x14ac:dyDescent="0.25">
      <c r="N77" s="30"/>
    </row>
    <row r="78" spans="12:14" x14ac:dyDescent="0.25">
      <c r="N78" s="30"/>
    </row>
    <row r="79" spans="12:14" x14ac:dyDescent="0.25">
      <c r="N79" s="30"/>
    </row>
    <row r="80" spans="12:14" x14ac:dyDescent="0.25">
      <c r="N80" s="30"/>
    </row>
    <row r="81" spans="14:14" x14ac:dyDescent="0.25">
      <c r="N81" s="30"/>
    </row>
    <row r="82" spans="14:14" x14ac:dyDescent="0.25">
      <c r="N82" s="30"/>
    </row>
    <row r="83" spans="14:14" x14ac:dyDescent="0.25">
      <c r="N83" s="30"/>
    </row>
    <row r="84" spans="14:14" x14ac:dyDescent="0.25">
      <c r="N84" s="30"/>
    </row>
    <row r="85" spans="14:14" x14ac:dyDescent="0.25">
      <c r="N85" s="30"/>
    </row>
    <row r="86" spans="14:14" x14ac:dyDescent="0.25">
      <c r="N86" s="30"/>
    </row>
    <row r="87" spans="14:14" x14ac:dyDescent="0.25">
      <c r="N87" s="30"/>
    </row>
    <row r="88" spans="14:14" x14ac:dyDescent="0.25">
      <c r="N88" s="30"/>
    </row>
    <row r="89" spans="14:14" x14ac:dyDescent="0.25">
      <c r="N89" s="30"/>
    </row>
    <row r="90" spans="14:14" x14ac:dyDescent="0.25">
      <c r="N90" s="30"/>
    </row>
    <row r="91" spans="14:14" x14ac:dyDescent="0.25">
      <c r="N91" s="30"/>
    </row>
    <row r="92" spans="14:14" x14ac:dyDescent="0.25">
      <c r="N92" s="30"/>
    </row>
    <row r="93" spans="14:14" x14ac:dyDescent="0.25">
      <c r="N93" s="30"/>
    </row>
    <row r="94" spans="14:14" x14ac:dyDescent="0.25">
      <c r="N94" s="30"/>
    </row>
    <row r="95" spans="14:14" x14ac:dyDescent="0.25">
      <c r="N95" s="30"/>
    </row>
    <row r="96" spans="14:14" x14ac:dyDescent="0.25">
      <c r="N96" s="30"/>
    </row>
    <row r="97" spans="14:14" x14ac:dyDescent="0.25">
      <c r="N97" s="30"/>
    </row>
    <row r="98" spans="14:14" x14ac:dyDescent="0.25">
      <c r="N98" s="30"/>
    </row>
    <row r="99" spans="14:14" x14ac:dyDescent="0.25">
      <c r="N99" s="30"/>
    </row>
    <row r="100" spans="14:14" x14ac:dyDescent="0.25">
      <c r="N100" s="30"/>
    </row>
    <row r="101" spans="14:14" x14ac:dyDescent="0.25">
      <c r="N101" s="30"/>
    </row>
    <row r="102" spans="14:14" x14ac:dyDescent="0.25">
      <c r="N102" s="30"/>
    </row>
    <row r="103" spans="14:14" x14ac:dyDescent="0.25">
      <c r="N103" s="30"/>
    </row>
    <row r="104" spans="14:14" x14ac:dyDescent="0.25">
      <c r="N104" s="30"/>
    </row>
    <row r="105" spans="14:14" x14ac:dyDescent="0.25">
      <c r="N105" s="30"/>
    </row>
    <row r="106" spans="14:14" x14ac:dyDescent="0.25">
      <c r="N106" s="30"/>
    </row>
    <row r="107" spans="14:14" x14ac:dyDescent="0.25">
      <c r="N107" s="30"/>
    </row>
    <row r="108" spans="14:14" x14ac:dyDescent="0.25">
      <c r="N108" s="30"/>
    </row>
    <row r="109" spans="14:14" x14ac:dyDescent="0.25">
      <c r="N109" s="30"/>
    </row>
    <row r="110" spans="14:14" x14ac:dyDescent="0.25">
      <c r="N110" s="30"/>
    </row>
    <row r="111" spans="14:14" x14ac:dyDescent="0.25">
      <c r="N111" s="30"/>
    </row>
    <row r="112" spans="14:14" x14ac:dyDescent="0.25">
      <c r="N112" s="30"/>
    </row>
    <row r="113" spans="14:14" x14ac:dyDescent="0.25">
      <c r="N113" s="30"/>
    </row>
    <row r="114" spans="14:14" x14ac:dyDescent="0.25">
      <c r="N114" s="30"/>
    </row>
    <row r="115" spans="14:14" x14ac:dyDescent="0.25">
      <c r="N115" s="30"/>
    </row>
    <row r="116" spans="14:14" x14ac:dyDescent="0.25">
      <c r="N116" s="30"/>
    </row>
    <row r="117" spans="14:14" x14ac:dyDescent="0.25">
      <c r="N117" s="30"/>
    </row>
    <row r="118" spans="14:14" x14ac:dyDescent="0.25">
      <c r="N118" s="30"/>
    </row>
    <row r="119" spans="14:14" x14ac:dyDescent="0.25">
      <c r="N119" s="30"/>
    </row>
    <row r="120" spans="14:14" x14ac:dyDescent="0.25">
      <c r="N120" s="30"/>
    </row>
    <row r="121" spans="14:14" x14ac:dyDescent="0.25">
      <c r="N121" s="30"/>
    </row>
    <row r="122" spans="14:14" x14ac:dyDescent="0.25">
      <c r="N122" s="30"/>
    </row>
    <row r="123" spans="14:14" x14ac:dyDescent="0.25">
      <c r="N123" s="30"/>
    </row>
    <row r="124" spans="14:14" x14ac:dyDescent="0.25">
      <c r="N124" s="30"/>
    </row>
    <row r="125" spans="14:14" x14ac:dyDescent="0.25">
      <c r="N125" s="30"/>
    </row>
    <row r="126" spans="14:14" x14ac:dyDescent="0.25">
      <c r="N126" s="30"/>
    </row>
    <row r="127" spans="14:14" x14ac:dyDescent="0.25">
      <c r="N127" s="30"/>
    </row>
  </sheetData>
  <sheetProtection algorithmName="SHA-512" hashValue="eB8jGhDoN4EGDAbRMP1qHdP8fzPpJVu1IzaSxe97UcG/FsIrYz/IVNDiQo0OmYpWhtXFvxm6vyDlH1bBS7/cog==" saltValue="k7YeBklqPEEoqYLFXwtmxw==" spinCount="100000" sheet="1" objects="1" scenarios="1"/>
  <mergeCells count="8">
    <mergeCell ref="A27:I27"/>
    <mergeCell ref="A49:I49"/>
    <mergeCell ref="A1:M1"/>
    <mergeCell ref="B2:D2"/>
    <mergeCell ref="E2:G2"/>
    <mergeCell ref="H2:J2"/>
    <mergeCell ref="K2:M2"/>
    <mergeCell ref="A25:M25"/>
  </mergeCells>
  <pageMargins left="0.7" right="0.7" top="0.75" bottom="0.75" header="0.3" footer="0.3"/>
  <pageSetup scale="9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9E348-1BD3-48D0-9D37-FD1604D10394}">
  <sheetPr>
    <pageSetUpPr fitToPage="1"/>
  </sheetPr>
  <dimension ref="A1:S81"/>
  <sheetViews>
    <sheetView workbookViewId="0">
      <selection activeCell="Q6" sqref="Q6"/>
    </sheetView>
  </sheetViews>
  <sheetFormatPr defaultRowHeight="13.5" x14ac:dyDescent="0.25"/>
  <cols>
    <col min="1" max="1" width="7.7109375" style="1" bestFit="1" customWidth="1"/>
    <col min="2" max="15" width="6" style="1" bestFit="1" customWidth="1"/>
    <col min="16" max="16384" width="9.140625" style="1"/>
  </cols>
  <sheetData>
    <row r="1" spans="1:19" ht="24.75" thickBot="1" x14ac:dyDescent="0.45">
      <c r="A1" s="296" t="s">
        <v>17</v>
      </c>
      <c r="B1" s="296"/>
      <c r="C1" s="296"/>
      <c r="D1" s="296"/>
      <c r="E1" s="296"/>
      <c r="F1" s="296"/>
      <c r="G1" s="296"/>
      <c r="H1" s="296"/>
      <c r="I1" s="296"/>
      <c r="J1" s="296"/>
      <c r="K1" s="296"/>
      <c r="L1" s="296"/>
      <c r="M1" s="296"/>
      <c r="N1" s="296"/>
      <c r="O1" s="296"/>
    </row>
    <row r="2" spans="1:19" x14ac:dyDescent="0.25">
      <c r="A2" s="40"/>
      <c r="B2" s="41">
        <v>0.02</v>
      </c>
      <c r="C2" s="41">
        <v>0.03</v>
      </c>
      <c r="D2" s="41">
        <v>0.04</v>
      </c>
      <c r="E2" s="41">
        <v>0.05</v>
      </c>
      <c r="F2" s="41">
        <v>0.06</v>
      </c>
      <c r="G2" s="41">
        <v>7.0000000000000007E-2</v>
      </c>
      <c r="H2" s="41">
        <v>0.08</v>
      </c>
      <c r="I2" s="41">
        <v>0.09</v>
      </c>
      <c r="J2" s="41">
        <v>0.1</v>
      </c>
      <c r="K2" s="41">
        <v>0.11</v>
      </c>
      <c r="L2" s="41">
        <v>0.12</v>
      </c>
      <c r="M2" s="41">
        <v>0.13</v>
      </c>
      <c r="N2" s="41">
        <v>0.14000000000000001</v>
      </c>
      <c r="O2" s="41">
        <v>0.15</v>
      </c>
      <c r="S2" s="27"/>
    </row>
    <row r="3" spans="1:19" x14ac:dyDescent="0.25">
      <c r="A3" s="42">
        <v>1</v>
      </c>
      <c r="B3" s="43">
        <v>1.02</v>
      </c>
      <c r="C3" s="43">
        <v>1.03</v>
      </c>
      <c r="D3" s="43">
        <v>1.04</v>
      </c>
      <c r="E3" s="43">
        <v>1.05</v>
      </c>
      <c r="F3" s="43">
        <v>1.06</v>
      </c>
      <c r="G3" s="43">
        <v>1.07</v>
      </c>
      <c r="H3" s="43">
        <v>1.08</v>
      </c>
      <c r="I3" s="43">
        <v>1.0900000000000001</v>
      </c>
      <c r="J3" s="43">
        <v>1.1000000000000001</v>
      </c>
      <c r="K3" s="43">
        <v>1.1100000000000001</v>
      </c>
      <c r="L3" s="43">
        <v>1.1200000000000001</v>
      </c>
      <c r="M3" s="43">
        <v>1.1299999999999999</v>
      </c>
      <c r="N3" s="43">
        <v>1.1399999999999999</v>
      </c>
      <c r="O3" s="43">
        <v>1.1499999999999999</v>
      </c>
      <c r="S3" s="44"/>
    </row>
    <row r="4" spans="1:19" x14ac:dyDescent="0.25">
      <c r="A4" s="42">
        <v>2</v>
      </c>
      <c r="B4" s="43">
        <v>0.51500000000000001</v>
      </c>
      <c r="C4" s="43">
        <v>0.52300000000000002</v>
      </c>
      <c r="D4" s="43">
        <v>0.53</v>
      </c>
      <c r="E4" s="43">
        <v>0.53800000000000003</v>
      </c>
      <c r="F4" s="43">
        <v>0.54500000000000004</v>
      </c>
      <c r="G4" s="43">
        <v>0.55300000000000005</v>
      </c>
      <c r="H4" s="43">
        <v>0.56100000000000005</v>
      </c>
      <c r="I4" s="43">
        <v>0.56799999999999995</v>
      </c>
      <c r="J4" s="43">
        <v>0.57599999999999996</v>
      </c>
      <c r="K4" s="43">
        <v>0.58399999999999996</v>
      </c>
      <c r="L4" s="43">
        <v>0.59199999999999997</v>
      </c>
      <c r="M4" s="43">
        <v>0.59899999999999998</v>
      </c>
      <c r="N4" s="43">
        <v>0.60699999999999998</v>
      </c>
      <c r="O4" s="43">
        <v>0.61499999999999999</v>
      </c>
      <c r="S4" s="44"/>
    </row>
    <row r="5" spans="1:19" x14ac:dyDescent="0.25">
      <c r="A5" s="42">
        <v>3</v>
      </c>
      <c r="B5" s="43">
        <v>0.34699999999999998</v>
      </c>
      <c r="C5" s="43">
        <v>0.35399999999999998</v>
      </c>
      <c r="D5" s="43">
        <v>0.36</v>
      </c>
      <c r="E5" s="43">
        <v>0.36699999999999999</v>
      </c>
      <c r="F5" s="43">
        <v>0.374</v>
      </c>
      <c r="G5" s="43">
        <v>0.38100000000000001</v>
      </c>
      <c r="H5" s="43">
        <v>0.38800000000000001</v>
      </c>
      <c r="I5" s="43">
        <v>0.39500000000000002</v>
      </c>
      <c r="J5" s="43">
        <v>0.40200000000000002</v>
      </c>
      <c r="K5" s="43">
        <v>0.40899999999999997</v>
      </c>
      <c r="L5" s="43">
        <v>0.41599999999999998</v>
      </c>
      <c r="M5" s="43">
        <v>0.42399999999999999</v>
      </c>
      <c r="N5" s="43">
        <v>0.43099999999999999</v>
      </c>
      <c r="O5" s="43">
        <v>0.438</v>
      </c>
      <c r="S5" s="44"/>
    </row>
    <row r="6" spans="1:19" x14ac:dyDescent="0.25">
      <c r="A6" s="42">
        <v>4</v>
      </c>
      <c r="B6" s="43">
        <v>0.26300000000000001</v>
      </c>
      <c r="C6" s="43">
        <v>0.26900000000000002</v>
      </c>
      <c r="D6" s="43">
        <v>0.27500000000000002</v>
      </c>
      <c r="E6" s="43">
        <v>0.28199999999999997</v>
      </c>
      <c r="F6" s="43">
        <v>0.28899999999999998</v>
      </c>
      <c r="G6" s="43">
        <v>0.29499999999999998</v>
      </c>
      <c r="H6" s="43">
        <v>0.30199999999999999</v>
      </c>
      <c r="I6" s="43">
        <v>0.309</v>
      </c>
      <c r="J6" s="43">
        <v>0.315</v>
      </c>
      <c r="K6" s="43">
        <v>0.32200000000000001</v>
      </c>
      <c r="L6" s="43">
        <v>0.32900000000000001</v>
      </c>
      <c r="M6" s="43">
        <v>0.33600000000000002</v>
      </c>
      <c r="N6" s="43">
        <v>0.34300000000000003</v>
      </c>
      <c r="O6" s="43">
        <v>0.35</v>
      </c>
      <c r="S6" s="44"/>
    </row>
    <row r="7" spans="1:19" x14ac:dyDescent="0.25">
      <c r="A7" s="42">
        <v>5</v>
      </c>
      <c r="B7" s="43">
        <v>0.21199999999999999</v>
      </c>
      <c r="C7" s="43">
        <v>0.218</v>
      </c>
      <c r="D7" s="43">
        <v>0.22500000000000001</v>
      </c>
      <c r="E7" s="43">
        <v>0.23100000000000001</v>
      </c>
      <c r="F7" s="43">
        <v>0.23699999999999999</v>
      </c>
      <c r="G7" s="43">
        <v>0.24399999999999999</v>
      </c>
      <c r="H7" s="43">
        <v>0.25</v>
      </c>
      <c r="I7" s="43">
        <v>0.25700000000000001</v>
      </c>
      <c r="J7" s="43">
        <v>0.26400000000000001</v>
      </c>
      <c r="K7" s="43">
        <v>0.27100000000000002</v>
      </c>
      <c r="L7" s="43">
        <v>0.27700000000000002</v>
      </c>
      <c r="M7" s="43">
        <v>0.28399999999999997</v>
      </c>
      <c r="N7" s="43">
        <v>0.29099999999999998</v>
      </c>
      <c r="O7" s="43">
        <v>0.29799999999999999</v>
      </c>
      <c r="S7" s="44"/>
    </row>
    <row r="8" spans="1:19" x14ac:dyDescent="0.25">
      <c r="A8" s="42">
        <v>6</v>
      </c>
      <c r="B8" s="43">
        <v>0.17899999999999999</v>
      </c>
      <c r="C8" s="43">
        <v>0.185</v>
      </c>
      <c r="D8" s="43">
        <v>0.191</v>
      </c>
      <c r="E8" s="43">
        <v>0.19700000000000001</v>
      </c>
      <c r="F8" s="43">
        <v>0.20300000000000001</v>
      </c>
      <c r="G8" s="43">
        <v>0.21</v>
      </c>
      <c r="H8" s="43">
        <v>0.216</v>
      </c>
      <c r="I8" s="43">
        <v>0.223</v>
      </c>
      <c r="J8" s="43">
        <v>0.23</v>
      </c>
      <c r="K8" s="43">
        <v>0.23599999999999999</v>
      </c>
      <c r="L8" s="43">
        <v>0.24299999999999999</v>
      </c>
      <c r="M8" s="43">
        <v>0.25</v>
      </c>
      <c r="N8" s="43">
        <v>0.25700000000000001</v>
      </c>
      <c r="O8" s="43">
        <v>0.26400000000000001</v>
      </c>
      <c r="S8" s="44"/>
    </row>
    <row r="9" spans="1:19" x14ac:dyDescent="0.25">
      <c r="A9" s="42">
        <v>7</v>
      </c>
      <c r="B9" s="43">
        <v>0.155</v>
      </c>
      <c r="C9" s="43">
        <v>0.161</v>
      </c>
      <c r="D9" s="43">
        <v>0.16700000000000001</v>
      </c>
      <c r="E9" s="43">
        <v>0.17299999999999999</v>
      </c>
      <c r="F9" s="43">
        <v>0.17899999999999999</v>
      </c>
      <c r="G9" s="43">
        <v>0.186</v>
      </c>
      <c r="H9" s="43">
        <v>0.192</v>
      </c>
      <c r="I9" s="43">
        <v>0.19900000000000001</v>
      </c>
      <c r="J9" s="43">
        <v>0.20499999999999999</v>
      </c>
      <c r="K9" s="43">
        <v>0.21199999999999999</v>
      </c>
      <c r="L9" s="43">
        <v>0.219</v>
      </c>
      <c r="M9" s="43">
        <v>0.22600000000000001</v>
      </c>
      <c r="N9" s="43">
        <v>0.23300000000000001</v>
      </c>
      <c r="O9" s="43">
        <v>0.24</v>
      </c>
      <c r="S9" s="44"/>
    </row>
    <row r="10" spans="1:19" x14ac:dyDescent="0.25">
      <c r="A10" s="42">
        <v>8</v>
      </c>
      <c r="B10" s="43">
        <v>0.13700000000000001</v>
      </c>
      <c r="C10" s="43">
        <v>0.14199999999999999</v>
      </c>
      <c r="D10" s="43">
        <v>0.14899999999999999</v>
      </c>
      <c r="E10" s="43">
        <v>0.155</v>
      </c>
      <c r="F10" s="43">
        <v>0.161</v>
      </c>
      <c r="G10" s="43">
        <v>0.16700000000000001</v>
      </c>
      <c r="H10" s="43">
        <v>0.17399999999999999</v>
      </c>
      <c r="I10" s="43">
        <v>0.18099999999999999</v>
      </c>
      <c r="J10" s="43">
        <v>0.187</v>
      </c>
      <c r="K10" s="43">
        <v>0.19400000000000001</v>
      </c>
      <c r="L10" s="43">
        <v>0.20100000000000001</v>
      </c>
      <c r="M10" s="43">
        <v>0.20799999999999999</v>
      </c>
      <c r="N10" s="43">
        <v>0.216</v>
      </c>
      <c r="O10" s="43">
        <v>0.223</v>
      </c>
      <c r="S10" s="44"/>
    </row>
    <row r="11" spans="1:19" x14ac:dyDescent="0.25">
      <c r="A11" s="42">
        <v>9</v>
      </c>
      <c r="B11" s="43">
        <v>0.123</v>
      </c>
      <c r="C11" s="43">
        <v>0.128</v>
      </c>
      <c r="D11" s="43">
        <v>0.13400000000000001</v>
      </c>
      <c r="E11" s="43">
        <v>0.14099999999999999</v>
      </c>
      <c r="F11" s="43">
        <v>0.14699999999999999</v>
      </c>
      <c r="G11" s="43">
        <v>0.153</v>
      </c>
      <c r="H11" s="43">
        <v>0.16</v>
      </c>
      <c r="I11" s="43">
        <v>0.16700000000000001</v>
      </c>
      <c r="J11" s="43">
        <v>0.17399999999999999</v>
      </c>
      <c r="K11" s="43">
        <v>0.18099999999999999</v>
      </c>
      <c r="L11" s="43">
        <v>0.188</v>
      </c>
      <c r="M11" s="43">
        <v>0.19500000000000001</v>
      </c>
      <c r="N11" s="43">
        <v>0.20200000000000001</v>
      </c>
      <c r="O11" s="43">
        <v>0.21</v>
      </c>
      <c r="S11" s="44"/>
    </row>
    <row r="12" spans="1:19" x14ac:dyDescent="0.25">
      <c r="A12" s="42">
        <v>10</v>
      </c>
      <c r="B12" s="43">
        <v>0.111</v>
      </c>
      <c r="C12" s="43">
        <v>0.11700000000000001</v>
      </c>
      <c r="D12" s="43">
        <v>0.123</v>
      </c>
      <c r="E12" s="43">
        <v>0.13</v>
      </c>
      <c r="F12" s="43">
        <v>0.13600000000000001</v>
      </c>
      <c r="G12" s="43">
        <v>0.14199999999999999</v>
      </c>
      <c r="H12" s="43">
        <v>0.14899999999999999</v>
      </c>
      <c r="I12" s="43">
        <v>0.156</v>
      </c>
      <c r="J12" s="43">
        <v>0.16300000000000001</v>
      </c>
      <c r="K12" s="43">
        <v>0.17</v>
      </c>
      <c r="L12" s="43">
        <v>0.17699999999999999</v>
      </c>
      <c r="M12" s="43">
        <v>0.184</v>
      </c>
      <c r="N12" s="43">
        <v>0.192</v>
      </c>
      <c r="O12" s="43">
        <v>0.19900000000000001</v>
      </c>
      <c r="S12" s="44"/>
    </row>
    <row r="13" spans="1:19" x14ac:dyDescent="0.25">
      <c r="A13" s="42">
        <v>11</v>
      </c>
      <c r="B13" s="43">
        <v>0.10199999999999999</v>
      </c>
      <c r="C13" s="43">
        <v>0.108</v>
      </c>
      <c r="D13" s="43">
        <v>0.114</v>
      </c>
      <c r="E13" s="43">
        <v>0.12</v>
      </c>
      <c r="F13" s="43">
        <v>0.127</v>
      </c>
      <c r="G13" s="43">
        <v>0.13300000000000001</v>
      </c>
      <c r="H13" s="43">
        <v>0.14000000000000001</v>
      </c>
      <c r="I13" s="43">
        <v>0.14699999999999999</v>
      </c>
      <c r="J13" s="43">
        <v>0.154</v>
      </c>
      <c r="K13" s="43">
        <v>0.161</v>
      </c>
      <c r="L13" s="43">
        <v>0.16800000000000001</v>
      </c>
      <c r="M13" s="43">
        <v>0.17599999999999999</v>
      </c>
      <c r="N13" s="43">
        <v>0.183</v>
      </c>
      <c r="O13" s="43">
        <v>0.191</v>
      </c>
      <c r="S13" s="44"/>
    </row>
    <row r="14" spans="1:19" x14ac:dyDescent="0.25">
      <c r="A14" s="42">
        <v>12</v>
      </c>
      <c r="B14" s="43">
        <v>9.5000000000000001E-2</v>
      </c>
      <c r="C14" s="43">
        <v>0.1</v>
      </c>
      <c r="D14" s="43">
        <v>0.107</v>
      </c>
      <c r="E14" s="43">
        <v>0.113</v>
      </c>
      <c r="F14" s="43">
        <v>0.11899999999999999</v>
      </c>
      <c r="G14" s="43">
        <v>0.126</v>
      </c>
      <c r="H14" s="43">
        <v>0.13300000000000001</v>
      </c>
      <c r="I14" s="43">
        <v>0.14000000000000001</v>
      </c>
      <c r="J14" s="43">
        <v>0.14699999999999999</v>
      </c>
      <c r="K14" s="43">
        <v>0.154</v>
      </c>
      <c r="L14" s="43">
        <v>0.161</v>
      </c>
      <c r="M14" s="43">
        <v>0.16900000000000001</v>
      </c>
      <c r="N14" s="43">
        <v>0.17699999999999999</v>
      </c>
      <c r="O14" s="43">
        <v>0.184</v>
      </c>
      <c r="S14" s="44"/>
    </row>
    <row r="15" spans="1:19" x14ac:dyDescent="0.25">
      <c r="A15" s="42">
        <v>13</v>
      </c>
      <c r="B15" s="43">
        <v>8.7999999999999995E-2</v>
      </c>
      <c r="C15" s="43">
        <v>9.4E-2</v>
      </c>
      <c r="D15" s="43">
        <v>0.1</v>
      </c>
      <c r="E15" s="43">
        <v>0.106</v>
      </c>
      <c r="F15" s="43">
        <v>0.113</v>
      </c>
      <c r="G15" s="43">
        <v>0.12</v>
      </c>
      <c r="H15" s="43">
        <v>0.127</v>
      </c>
      <c r="I15" s="43">
        <v>0.13400000000000001</v>
      </c>
      <c r="J15" s="43">
        <v>0.14099999999999999</v>
      </c>
      <c r="K15" s="43">
        <v>0.14799999999999999</v>
      </c>
      <c r="L15" s="43">
        <v>0.156</v>
      </c>
      <c r="M15" s="43">
        <v>0.16300000000000001</v>
      </c>
      <c r="N15" s="43">
        <v>0.17100000000000001</v>
      </c>
      <c r="O15" s="43">
        <v>0.17899999999999999</v>
      </c>
      <c r="S15" s="44"/>
    </row>
    <row r="16" spans="1:19" x14ac:dyDescent="0.25">
      <c r="A16" s="42">
        <v>14</v>
      </c>
      <c r="B16" s="43">
        <v>8.3000000000000004E-2</v>
      </c>
      <c r="C16" s="43">
        <v>8.8999999999999996E-2</v>
      </c>
      <c r="D16" s="43">
        <v>9.5000000000000001E-2</v>
      </c>
      <c r="E16" s="43">
        <v>0.10100000000000001</v>
      </c>
      <c r="F16" s="43">
        <v>0.108</v>
      </c>
      <c r="G16" s="43">
        <v>0.114</v>
      </c>
      <c r="H16" s="43">
        <v>0.121</v>
      </c>
      <c r="I16" s="43">
        <v>0.128</v>
      </c>
      <c r="J16" s="43">
        <v>0.13600000000000001</v>
      </c>
      <c r="K16" s="43">
        <v>0.14299999999999999</v>
      </c>
      <c r="L16" s="43">
        <v>0.151</v>
      </c>
      <c r="M16" s="43">
        <v>0.159</v>
      </c>
      <c r="N16" s="43">
        <v>0.16700000000000001</v>
      </c>
      <c r="O16" s="43">
        <v>0.17499999999999999</v>
      </c>
      <c r="S16" s="44"/>
    </row>
    <row r="17" spans="1:19" x14ac:dyDescent="0.25">
      <c r="A17" s="42">
        <v>15</v>
      </c>
      <c r="B17" s="43">
        <v>7.8E-2</v>
      </c>
      <c r="C17" s="43">
        <v>8.4000000000000005E-2</v>
      </c>
      <c r="D17" s="43">
        <v>0.09</v>
      </c>
      <c r="E17" s="43">
        <v>9.6000000000000002E-2</v>
      </c>
      <c r="F17" s="43">
        <v>0.10299999999999999</v>
      </c>
      <c r="G17" s="43">
        <v>0.11</v>
      </c>
      <c r="H17" s="43">
        <v>0.11700000000000001</v>
      </c>
      <c r="I17" s="43">
        <v>0.124</v>
      </c>
      <c r="J17" s="43">
        <v>0.13100000000000001</v>
      </c>
      <c r="K17" s="43">
        <v>0.13900000000000001</v>
      </c>
      <c r="L17" s="43">
        <v>0.14699999999999999</v>
      </c>
      <c r="M17" s="43">
        <v>0.155</v>
      </c>
      <c r="N17" s="43">
        <v>0.16300000000000001</v>
      </c>
      <c r="O17" s="43">
        <v>0.17100000000000001</v>
      </c>
      <c r="S17" s="44"/>
    </row>
    <row r="18" spans="1:19" x14ac:dyDescent="0.25">
      <c r="A18" s="42">
        <v>16</v>
      </c>
      <c r="B18" s="43">
        <v>7.3999999999999996E-2</v>
      </c>
      <c r="C18" s="43">
        <v>0.08</v>
      </c>
      <c r="D18" s="43">
        <v>8.5999999999999993E-2</v>
      </c>
      <c r="E18" s="43">
        <v>9.1999999999999998E-2</v>
      </c>
      <c r="F18" s="43">
        <v>9.9000000000000005E-2</v>
      </c>
      <c r="G18" s="43">
        <v>0.106</v>
      </c>
      <c r="H18" s="43">
        <v>0.113</v>
      </c>
      <c r="I18" s="43">
        <v>0.12</v>
      </c>
      <c r="J18" s="43">
        <v>0.128</v>
      </c>
      <c r="K18" s="43">
        <v>0.13600000000000001</v>
      </c>
      <c r="L18" s="43">
        <v>0.14299999999999999</v>
      </c>
      <c r="M18" s="43">
        <v>0.151</v>
      </c>
      <c r="N18" s="43">
        <v>0.16</v>
      </c>
      <c r="O18" s="43">
        <v>0.16800000000000001</v>
      </c>
      <c r="S18" s="44"/>
    </row>
    <row r="19" spans="1:19" x14ac:dyDescent="0.25">
      <c r="A19" s="42">
        <v>17</v>
      </c>
      <c r="B19" s="43">
        <v>7.0000000000000007E-2</v>
      </c>
      <c r="C19" s="43">
        <v>7.5999999999999998E-2</v>
      </c>
      <c r="D19" s="43">
        <v>8.2000000000000003E-2</v>
      </c>
      <c r="E19" s="43">
        <v>8.8999999999999996E-2</v>
      </c>
      <c r="F19" s="43">
        <v>9.5000000000000001E-2</v>
      </c>
      <c r="G19" s="43">
        <v>0.10199999999999999</v>
      </c>
      <c r="H19" s="43">
        <v>0.11</v>
      </c>
      <c r="I19" s="43">
        <v>0.11700000000000001</v>
      </c>
      <c r="J19" s="43">
        <v>0.125</v>
      </c>
      <c r="K19" s="43">
        <v>0.13200000000000001</v>
      </c>
      <c r="L19" s="43">
        <v>0.14000000000000001</v>
      </c>
      <c r="M19" s="43">
        <v>0.14899999999999999</v>
      </c>
      <c r="N19" s="43">
        <v>0.157</v>
      </c>
      <c r="O19" s="43">
        <v>0.16500000000000001</v>
      </c>
      <c r="S19" s="44"/>
    </row>
    <row r="20" spans="1:19" x14ac:dyDescent="0.25">
      <c r="A20" s="42">
        <v>18</v>
      </c>
      <c r="B20" s="43">
        <v>6.7000000000000004E-2</v>
      </c>
      <c r="C20" s="43">
        <v>7.2999999999999995E-2</v>
      </c>
      <c r="D20" s="43">
        <v>7.9000000000000001E-2</v>
      </c>
      <c r="E20" s="43">
        <v>8.5999999999999993E-2</v>
      </c>
      <c r="F20" s="43">
        <v>9.1999999999999998E-2</v>
      </c>
      <c r="G20" s="43">
        <v>9.9000000000000005E-2</v>
      </c>
      <c r="H20" s="43">
        <v>0.107</v>
      </c>
      <c r="I20" s="43">
        <v>0.114</v>
      </c>
      <c r="J20" s="43">
        <v>0.122</v>
      </c>
      <c r="K20" s="43">
        <v>0.13</v>
      </c>
      <c r="L20" s="43">
        <v>0.13800000000000001</v>
      </c>
      <c r="M20" s="43">
        <v>0.14599999999999999</v>
      </c>
      <c r="N20" s="43">
        <v>0.155</v>
      </c>
      <c r="O20" s="43">
        <v>0.16300000000000001</v>
      </c>
      <c r="S20" s="44"/>
    </row>
    <row r="21" spans="1:19" x14ac:dyDescent="0.25">
      <c r="A21" s="42">
        <v>19</v>
      </c>
      <c r="B21" s="43">
        <v>6.4000000000000001E-2</v>
      </c>
      <c r="C21" s="43">
        <v>7.0000000000000007E-2</v>
      </c>
      <c r="D21" s="43">
        <v>7.5999999999999998E-2</v>
      </c>
      <c r="E21" s="43">
        <v>8.3000000000000004E-2</v>
      </c>
      <c r="F21" s="43">
        <v>0.09</v>
      </c>
      <c r="G21" s="43">
        <v>9.7000000000000003E-2</v>
      </c>
      <c r="H21" s="43">
        <v>0.104</v>
      </c>
      <c r="I21" s="43">
        <v>0.112</v>
      </c>
      <c r="J21" s="43">
        <v>0.12</v>
      </c>
      <c r="K21" s="43">
        <v>0.128</v>
      </c>
      <c r="L21" s="43">
        <v>0.13600000000000001</v>
      </c>
      <c r="M21" s="43">
        <v>0.14399999999999999</v>
      </c>
      <c r="N21" s="43">
        <v>0.153</v>
      </c>
      <c r="O21" s="43">
        <v>0.161</v>
      </c>
      <c r="S21" s="44"/>
    </row>
    <row r="22" spans="1:19" ht="14.25" thickBot="1" x14ac:dyDescent="0.3">
      <c r="A22" s="45">
        <v>20</v>
      </c>
      <c r="B22" s="46">
        <v>6.0999999999999999E-2</v>
      </c>
      <c r="C22" s="46">
        <v>6.7000000000000004E-2</v>
      </c>
      <c r="D22" s="46">
        <v>7.3999999999999996E-2</v>
      </c>
      <c r="E22" s="46">
        <v>0.08</v>
      </c>
      <c r="F22" s="46">
        <v>8.6999999999999994E-2</v>
      </c>
      <c r="G22" s="46">
        <v>9.4E-2</v>
      </c>
      <c r="H22" s="46">
        <v>0.10199999999999999</v>
      </c>
      <c r="I22" s="46">
        <v>0.11</v>
      </c>
      <c r="J22" s="46">
        <v>0.11700000000000001</v>
      </c>
      <c r="K22" s="46">
        <v>0.126</v>
      </c>
      <c r="L22" s="46">
        <v>0.13400000000000001</v>
      </c>
      <c r="M22" s="46">
        <v>0.14199999999999999</v>
      </c>
      <c r="N22" s="46">
        <v>0.151</v>
      </c>
      <c r="O22" s="46">
        <v>0.16</v>
      </c>
      <c r="S22" s="44"/>
    </row>
    <row r="23" spans="1:19" ht="14.25" thickBot="1" x14ac:dyDescent="0.3">
      <c r="A23" s="292" t="s">
        <v>7</v>
      </c>
      <c r="B23" s="292"/>
      <c r="C23" s="292"/>
      <c r="D23" s="292"/>
      <c r="E23" s="292"/>
      <c r="F23" s="292"/>
      <c r="G23" s="292"/>
      <c r="H23" s="292"/>
      <c r="I23" s="292"/>
      <c r="J23" s="292"/>
      <c r="K23" s="292"/>
      <c r="L23" s="292"/>
      <c r="M23" s="292"/>
      <c r="N23" s="297"/>
      <c r="O23" s="297"/>
      <c r="S23" s="44"/>
    </row>
    <row r="24" spans="1:19" x14ac:dyDescent="0.25">
      <c r="S24" s="44"/>
    </row>
    <row r="25" spans="1:19" x14ac:dyDescent="0.25">
      <c r="S25" s="44"/>
    </row>
    <row r="26" spans="1:19" x14ac:dyDescent="0.25">
      <c r="C26" s="27"/>
      <c r="S26" s="44"/>
    </row>
    <row r="27" spans="1:19" x14ac:dyDescent="0.25">
      <c r="C27" s="44"/>
      <c r="S27" s="44"/>
    </row>
    <row r="28" spans="1:19" x14ac:dyDescent="0.25">
      <c r="C28" s="44"/>
      <c r="S28" s="44"/>
    </row>
    <row r="29" spans="1:19" x14ac:dyDescent="0.25">
      <c r="S29" s="44"/>
    </row>
    <row r="30" spans="1:19" x14ac:dyDescent="0.25">
      <c r="S30" s="44"/>
    </row>
    <row r="31" spans="1:19" x14ac:dyDescent="0.25">
      <c r="S31" s="44"/>
    </row>
    <row r="32" spans="1:19" x14ac:dyDescent="0.25">
      <c r="S32" s="44"/>
    </row>
    <row r="33" spans="19:19" x14ac:dyDescent="0.25">
      <c r="S33" s="44"/>
    </row>
    <row r="34" spans="19:19" x14ac:dyDescent="0.25">
      <c r="S34" s="44"/>
    </row>
    <row r="35" spans="19:19" x14ac:dyDescent="0.25">
      <c r="S35" s="44"/>
    </row>
    <row r="36" spans="19:19" x14ac:dyDescent="0.25">
      <c r="S36" s="44"/>
    </row>
    <row r="37" spans="19:19" x14ac:dyDescent="0.25">
      <c r="S37" s="44"/>
    </row>
    <row r="38" spans="19:19" x14ac:dyDescent="0.25">
      <c r="S38" s="44"/>
    </row>
    <row r="39" spans="19:19" x14ac:dyDescent="0.25">
      <c r="S39" s="44"/>
    </row>
    <row r="40" spans="19:19" x14ac:dyDescent="0.25">
      <c r="S40" s="44"/>
    </row>
    <row r="41" spans="19:19" x14ac:dyDescent="0.25">
      <c r="S41" s="44"/>
    </row>
    <row r="42" spans="19:19" x14ac:dyDescent="0.25">
      <c r="S42" s="44"/>
    </row>
    <row r="43" spans="19:19" x14ac:dyDescent="0.25">
      <c r="S43" s="44"/>
    </row>
    <row r="44" spans="19:19" x14ac:dyDescent="0.25">
      <c r="S44" s="44"/>
    </row>
    <row r="45" spans="19:19" x14ac:dyDescent="0.25">
      <c r="S45" s="44"/>
    </row>
    <row r="46" spans="19:19" x14ac:dyDescent="0.25">
      <c r="S46" s="44"/>
    </row>
    <row r="47" spans="19:19" x14ac:dyDescent="0.25">
      <c r="S47" s="44"/>
    </row>
    <row r="48" spans="19:19" x14ac:dyDescent="0.25">
      <c r="S48" s="44"/>
    </row>
    <row r="49" spans="19:19" x14ac:dyDescent="0.25">
      <c r="S49" s="44"/>
    </row>
    <row r="50" spans="19:19" x14ac:dyDescent="0.25">
      <c r="S50" s="44"/>
    </row>
    <row r="51" spans="19:19" x14ac:dyDescent="0.25">
      <c r="S51" s="44"/>
    </row>
    <row r="52" spans="19:19" x14ac:dyDescent="0.25">
      <c r="S52" s="44"/>
    </row>
    <row r="53" spans="19:19" x14ac:dyDescent="0.25">
      <c r="S53" s="44"/>
    </row>
    <row r="54" spans="19:19" x14ac:dyDescent="0.25">
      <c r="S54" s="44"/>
    </row>
    <row r="55" spans="19:19" x14ac:dyDescent="0.25">
      <c r="S55" s="44"/>
    </row>
    <row r="56" spans="19:19" x14ac:dyDescent="0.25">
      <c r="S56" s="44"/>
    </row>
    <row r="57" spans="19:19" x14ac:dyDescent="0.25">
      <c r="S57" s="44"/>
    </row>
    <row r="58" spans="19:19" x14ac:dyDescent="0.25">
      <c r="S58" s="44"/>
    </row>
    <row r="59" spans="19:19" x14ac:dyDescent="0.25">
      <c r="S59" s="44"/>
    </row>
    <row r="60" spans="19:19" x14ac:dyDescent="0.25">
      <c r="S60" s="44"/>
    </row>
    <row r="61" spans="19:19" x14ac:dyDescent="0.25">
      <c r="S61" s="44"/>
    </row>
    <row r="62" spans="19:19" x14ac:dyDescent="0.25">
      <c r="S62" s="44"/>
    </row>
    <row r="63" spans="19:19" x14ac:dyDescent="0.25">
      <c r="S63" s="44"/>
    </row>
    <row r="64" spans="19:19" x14ac:dyDescent="0.25">
      <c r="S64" s="44"/>
    </row>
    <row r="65" spans="19:19" x14ac:dyDescent="0.25">
      <c r="S65" s="44"/>
    </row>
    <row r="66" spans="19:19" x14ac:dyDescent="0.25">
      <c r="S66" s="44"/>
    </row>
    <row r="67" spans="19:19" x14ac:dyDescent="0.25">
      <c r="S67" s="44"/>
    </row>
    <row r="68" spans="19:19" x14ac:dyDescent="0.25">
      <c r="S68" s="44"/>
    </row>
    <row r="69" spans="19:19" x14ac:dyDescent="0.25">
      <c r="S69" s="44"/>
    </row>
    <row r="70" spans="19:19" x14ac:dyDescent="0.25">
      <c r="S70" s="44"/>
    </row>
    <row r="71" spans="19:19" x14ac:dyDescent="0.25">
      <c r="S71" s="44"/>
    </row>
    <row r="72" spans="19:19" x14ac:dyDescent="0.25">
      <c r="S72" s="44"/>
    </row>
    <row r="73" spans="19:19" x14ac:dyDescent="0.25">
      <c r="S73" s="44"/>
    </row>
    <row r="74" spans="19:19" x14ac:dyDescent="0.25">
      <c r="S74" s="44"/>
    </row>
    <row r="75" spans="19:19" x14ac:dyDescent="0.25">
      <c r="S75" s="44"/>
    </row>
    <row r="76" spans="19:19" x14ac:dyDescent="0.25">
      <c r="S76" s="44"/>
    </row>
    <row r="77" spans="19:19" x14ac:dyDescent="0.25">
      <c r="S77" s="44"/>
    </row>
    <row r="78" spans="19:19" x14ac:dyDescent="0.25">
      <c r="S78" s="44"/>
    </row>
    <row r="79" spans="19:19" x14ac:dyDescent="0.25">
      <c r="S79" s="44"/>
    </row>
    <row r="80" spans="19:19" x14ac:dyDescent="0.25">
      <c r="S80" s="44"/>
    </row>
    <row r="81" spans="19:19" x14ac:dyDescent="0.25">
      <c r="S81" s="44"/>
    </row>
  </sheetData>
  <sheetProtection algorithmName="SHA-512" hashValue="24ETTn9zTX2k/bxxRrTFneunklFOxC7tFho/XYwvjqElPNVhtmLjNMCXk6N6Rdlq9Ra3Y1oKAhSHXFCHEuFjFw==" saltValue="lTugBzoq0UVx78MYKOWuag==" spinCount="100000" sheet="1" objects="1" scenarios="1"/>
  <mergeCells count="2">
    <mergeCell ref="A1:O1"/>
    <mergeCell ref="A23:O23"/>
  </mergeCells>
  <pageMargins left="0.7" right="0.7" top="0.75" bottom="0.75" header="0.3" footer="0.3"/>
  <pageSetup scale="9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DB40C-BB3B-45E2-A73C-E4E177D9841E}">
  <sheetPr>
    <pageSetUpPr fitToPage="1"/>
  </sheetPr>
  <dimension ref="A1:K151"/>
  <sheetViews>
    <sheetView workbookViewId="0">
      <selection activeCell="P8" sqref="P8"/>
    </sheetView>
  </sheetViews>
  <sheetFormatPr defaultRowHeight="13.5" x14ac:dyDescent="0.25"/>
  <cols>
    <col min="1" max="1" width="22.7109375" style="1" bestFit="1" customWidth="1"/>
    <col min="2" max="10" width="6" style="1" bestFit="1" customWidth="1"/>
    <col min="11" max="11" width="7" style="1" bestFit="1" customWidth="1"/>
    <col min="12" max="16384" width="9.140625" style="1"/>
  </cols>
  <sheetData>
    <row r="1" spans="1:11" ht="24.75" thickBot="1" x14ac:dyDescent="0.45">
      <c r="A1" s="296" t="s">
        <v>18</v>
      </c>
      <c r="B1" s="296"/>
      <c r="C1" s="296"/>
      <c r="D1" s="296"/>
      <c r="E1" s="296"/>
      <c r="F1" s="296"/>
      <c r="G1" s="296"/>
      <c r="H1" s="296"/>
      <c r="I1" s="296"/>
      <c r="J1" s="296"/>
      <c r="K1" s="296"/>
    </row>
    <row r="2" spans="1:11" x14ac:dyDescent="0.25">
      <c r="A2" s="47" t="s">
        <v>19</v>
      </c>
      <c r="B2" s="298" t="s">
        <v>20</v>
      </c>
      <c r="C2" s="299"/>
      <c r="D2" s="299"/>
      <c r="E2" s="299"/>
      <c r="F2" s="299"/>
      <c r="G2" s="299"/>
      <c r="H2" s="299"/>
      <c r="I2" s="299"/>
      <c r="J2" s="299"/>
      <c r="K2" s="299"/>
    </row>
    <row r="3" spans="1:11" x14ac:dyDescent="0.25">
      <c r="A3" s="48"/>
      <c r="B3" s="49">
        <v>1000</v>
      </c>
      <c r="C3" s="49">
        <v>2000</v>
      </c>
      <c r="D3" s="49">
        <v>3000</v>
      </c>
      <c r="E3" s="49">
        <v>4000</v>
      </c>
      <c r="F3" s="49">
        <v>5000</v>
      </c>
      <c r="G3" s="49">
        <v>6000</v>
      </c>
      <c r="H3" s="49">
        <v>7000</v>
      </c>
      <c r="I3" s="49">
        <v>8000</v>
      </c>
      <c r="J3" s="49">
        <v>9000</v>
      </c>
      <c r="K3" s="50">
        <v>10000</v>
      </c>
    </row>
    <row r="4" spans="1:11" x14ac:dyDescent="0.25">
      <c r="A4" s="51" t="s">
        <v>21</v>
      </c>
      <c r="B4" s="29">
        <v>0.01</v>
      </c>
      <c r="C4" s="29">
        <v>0.03</v>
      </c>
      <c r="D4" s="29">
        <v>0.06</v>
      </c>
      <c r="E4" s="29">
        <v>0.11</v>
      </c>
      <c r="F4" s="29">
        <v>0.18</v>
      </c>
      <c r="G4" s="29">
        <v>0.25</v>
      </c>
      <c r="H4" s="29">
        <v>0.34</v>
      </c>
      <c r="I4" s="29">
        <v>0.45</v>
      </c>
      <c r="J4" s="29">
        <v>0.56999999999999995</v>
      </c>
      <c r="K4" s="17">
        <v>0.7</v>
      </c>
    </row>
    <row r="5" spans="1:11" x14ac:dyDescent="0.25">
      <c r="A5" s="51" t="s">
        <v>22</v>
      </c>
      <c r="B5" s="29">
        <v>0</v>
      </c>
      <c r="C5" s="29">
        <v>0.01</v>
      </c>
      <c r="D5" s="29">
        <v>0.03</v>
      </c>
      <c r="E5" s="29">
        <v>0.05</v>
      </c>
      <c r="F5" s="29">
        <v>0.08</v>
      </c>
      <c r="G5" s="29">
        <v>0.11</v>
      </c>
      <c r="H5" s="29">
        <v>0.15</v>
      </c>
      <c r="I5" s="29">
        <v>0.19</v>
      </c>
      <c r="J5" s="29">
        <v>0.24</v>
      </c>
      <c r="K5" s="17">
        <v>0.3</v>
      </c>
    </row>
    <row r="6" spans="1:11" x14ac:dyDescent="0.25">
      <c r="A6" s="52"/>
      <c r="B6" s="49">
        <v>200</v>
      </c>
      <c r="C6" s="49">
        <v>400</v>
      </c>
      <c r="D6" s="49">
        <v>600</v>
      </c>
      <c r="E6" s="49">
        <v>800</v>
      </c>
      <c r="F6" s="49">
        <v>1000</v>
      </c>
      <c r="G6" s="49">
        <v>1200</v>
      </c>
      <c r="H6" s="49">
        <v>1400</v>
      </c>
      <c r="I6" s="49">
        <v>1600</v>
      </c>
      <c r="J6" s="49">
        <v>1800</v>
      </c>
      <c r="K6" s="50">
        <v>2000</v>
      </c>
    </row>
    <row r="7" spans="1:11" x14ac:dyDescent="0.25">
      <c r="A7" s="51" t="s">
        <v>23</v>
      </c>
      <c r="B7" s="29">
        <v>0.02</v>
      </c>
      <c r="C7" s="29">
        <v>0.06</v>
      </c>
      <c r="D7" s="29">
        <v>0.12</v>
      </c>
      <c r="E7" s="29">
        <v>0.19</v>
      </c>
      <c r="F7" s="29">
        <v>0.28999999999999998</v>
      </c>
      <c r="G7" s="29">
        <v>0.4</v>
      </c>
      <c r="H7" s="29">
        <v>0.53</v>
      </c>
      <c r="I7" s="29">
        <v>0.68</v>
      </c>
      <c r="J7" s="29">
        <v>0.84</v>
      </c>
      <c r="K7" s="17">
        <v>1.01</v>
      </c>
    </row>
    <row r="8" spans="1:11" x14ac:dyDescent="0.25">
      <c r="A8" s="51" t="s">
        <v>24</v>
      </c>
      <c r="B8" s="29">
        <v>0.01</v>
      </c>
      <c r="C8" s="29">
        <v>0.04</v>
      </c>
      <c r="D8" s="29">
        <v>0.08</v>
      </c>
      <c r="E8" s="29">
        <v>0.12</v>
      </c>
      <c r="F8" s="29">
        <v>0.18</v>
      </c>
      <c r="G8" s="29">
        <v>0.25</v>
      </c>
      <c r="H8" s="29">
        <v>0.32</v>
      </c>
      <c r="I8" s="29">
        <v>0.4</v>
      </c>
      <c r="J8" s="29">
        <v>0.49</v>
      </c>
      <c r="K8" s="17">
        <v>0.57999999999999996</v>
      </c>
    </row>
    <row r="9" spans="1:11" x14ac:dyDescent="0.25">
      <c r="A9" s="51" t="s">
        <v>25</v>
      </c>
      <c r="B9" s="29">
        <v>0.01</v>
      </c>
      <c r="C9" s="29">
        <v>0.04</v>
      </c>
      <c r="D9" s="29">
        <v>0.08</v>
      </c>
      <c r="E9" s="29">
        <v>0.12</v>
      </c>
      <c r="F9" s="29">
        <v>0.18</v>
      </c>
      <c r="G9" s="29">
        <v>0.25</v>
      </c>
      <c r="H9" s="29">
        <v>0.32</v>
      </c>
      <c r="I9" s="29">
        <v>0.4</v>
      </c>
      <c r="J9" s="29">
        <v>0.49</v>
      </c>
      <c r="K9" s="17">
        <v>0.57999999999999996</v>
      </c>
    </row>
    <row r="10" spans="1:11" x14ac:dyDescent="0.25">
      <c r="A10" s="51" t="s">
        <v>26</v>
      </c>
      <c r="B10" s="29">
        <v>0.03</v>
      </c>
      <c r="C10" s="29">
        <v>0.08</v>
      </c>
      <c r="D10" s="29">
        <v>0.14000000000000001</v>
      </c>
      <c r="E10" s="29">
        <v>0.2</v>
      </c>
      <c r="F10" s="29">
        <v>0.28000000000000003</v>
      </c>
      <c r="G10" s="29">
        <v>0.36</v>
      </c>
      <c r="H10" s="29">
        <v>0.45</v>
      </c>
      <c r="I10" s="29">
        <v>0.54</v>
      </c>
      <c r="J10" s="29">
        <v>0.64</v>
      </c>
      <c r="K10" s="17">
        <v>0.74</v>
      </c>
    </row>
    <row r="11" spans="1:11" x14ac:dyDescent="0.25">
      <c r="A11" s="51" t="s">
        <v>27</v>
      </c>
      <c r="B11" s="29">
        <v>0.03</v>
      </c>
      <c r="C11" s="29">
        <v>7.0000000000000007E-2</v>
      </c>
      <c r="D11" s="29">
        <v>0.13</v>
      </c>
      <c r="E11" s="29">
        <v>0.2</v>
      </c>
      <c r="F11" s="29">
        <v>0.27</v>
      </c>
      <c r="G11" s="29">
        <v>0.35</v>
      </c>
      <c r="H11" s="29">
        <v>0.43</v>
      </c>
      <c r="I11" s="29">
        <v>0.52</v>
      </c>
      <c r="J11" s="29">
        <v>0.61</v>
      </c>
      <c r="K11" s="17">
        <v>0.71</v>
      </c>
    </row>
    <row r="12" spans="1:11" x14ac:dyDescent="0.25">
      <c r="A12" s="51" t="s">
        <v>28</v>
      </c>
      <c r="B12" s="29">
        <v>0.03</v>
      </c>
      <c r="C12" s="29">
        <v>7.0000000000000007E-2</v>
      </c>
      <c r="D12" s="29">
        <v>0.13</v>
      </c>
      <c r="E12" s="29">
        <v>0.2</v>
      </c>
      <c r="F12" s="29">
        <v>0.27</v>
      </c>
      <c r="G12" s="29">
        <v>0.35</v>
      </c>
      <c r="H12" s="29">
        <v>0.43</v>
      </c>
      <c r="I12" s="29">
        <v>0.52</v>
      </c>
      <c r="J12" s="29">
        <v>0.61</v>
      </c>
      <c r="K12" s="17">
        <v>0.71</v>
      </c>
    </row>
    <row r="13" spans="1:11" x14ac:dyDescent="0.25">
      <c r="A13" s="51" t="s">
        <v>29</v>
      </c>
      <c r="B13" s="29">
        <v>0.02</v>
      </c>
      <c r="C13" s="29">
        <v>0.05</v>
      </c>
      <c r="D13" s="29">
        <v>0.08</v>
      </c>
      <c r="E13" s="29">
        <v>0.12</v>
      </c>
      <c r="F13" s="29">
        <v>0.16</v>
      </c>
      <c r="G13" s="29">
        <v>0.2</v>
      </c>
      <c r="H13" s="29">
        <v>0.25</v>
      </c>
      <c r="I13" s="29">
        <v>0.28999999999999998</v>
      </c>
      <c r="J13" s="29">
        <v>0.34</v>
      </c>
      <c r="K13" s="17">
        <v>0.39</v>
      </c>
    </row>
    <row r="14" spans="1:11" x14ac:dyDescent="0.25">
      <c r="A14" s="51" t="s">
        <v>30</v>
      </c>
      <c r="B14" s="29">
        <v>0.02</v>
      </c>
      <c r="C14" s="29">
        <v>0.06</v>
      </c>
      <c r="D14" s="29">
        <v>0.11</v>
      </c>
      <c r="E14" s="29">
        <v>0.17</v>
      </c>
      <c r="F14" s="29">
        <v>0.23</v>
      </c>
      <c r="G14" s="29">
        <v>0.3</v>
      </c>
      <c r="H14" s="29">
        <v>0.37</v>
      </c>
      <c r="I14" s="29">
        <v>0.44</v>
      </c>
      <c r="J14" s="29">
        <v>0.52</v>
      </c>
      <c r="K14" s="17">
        <v>0.61</v>
      </c>
    </row>
    <row r="15" spans="1:11" x14ac:dyDescent="0.25">
      <c r="A15" s="51" t="s">
        <v>31</v>
      </c>
      <c r="B15" s="29">
        <v>0</v>
      </c>
      <c r="C15" s="29">
        <v>0.02</v>
      </c>
      <c r="D15" s="29">
        <v>0.06</v>
      </c>
      <c r="E15" s="29">
        <v>0.1</v>
      </c>
      <c r="F15" s="29">
        <v>0.17</v>
      </c>
      <c r="G15" s="29">
        <v>0.25</v>
      </c>
      <c r="H15" s="29">
        <v>0.36</v>
      </c>
      <c r="I15" s="29">
        <v>0.48</v>
      </c>
      <c r="J15" s="29">
        <v>0.62</v>
      </c>
      <c r="K15" s="17">
        <v>0.78</v>
      </c>
    </row>
    <row r="16" spans="1:11" x14ac:dyDescent="0.25">
      <c r="A16" s="52"/>
      <c r="B16" s="49">
        <v>200</v>
      </c>
      <c r="C16" s="49">
        <v>400</v>
      </c>
      <c r="D16" s="49">
        <v>600</v>
      </c>
      <c r="E16" s="49">
        <v>800</v>
      </c>
      <c r="F16" s="49">
        <v>1000</v>
      </c>
      <c r="G16" s="49">
        <v>1200</v>
      </c>
      <c r="H16" s="49">
        <v>1400</v>
      </c>
      <c r="I16" s="49">
        <v>1600</v>
      </c>
      <c r="J16" s="49">
        <v>1800</v>
      </c>
      <c r="K16" s="50">
        <v>2000</v>
      </c>
    </row>
    <row r="17" spans="1:11" x14ac:dyDescent="0.25">
      <c r="A17" s="51" t="s">
        <v>32</v>
      </c>
      <c r="B17" s="29">
        <v>0</v>
      </c>
      <c r="C17" s="29">
        <v>0.02</v>
      </c>
      <c r="D17" s="29">
        <v>0.04</v>
      </c>
      <c r="E17" s="29">
        <v>0.08</v>
      </c>
      <c r="F17" s="29">
        <v>0.14000000000000001</v>
      </c>
      <c r="G17" s="29">
        <v>0.21</v>
      </c>
      <c r="H17" s="29">
        <v>0.3</v>
      </c>
      <c r="I17" s="29">
        <v>0.41</v>
      </c>
      <c r="J17" s="29">
        <v>0.54</v>
      </c>
      <c r="K17" s="17">
        <v>0.69</v>
      </c>
    </row>
    <row r="18" spans="1:11" x14ac:dyDescent="0.25">
      <c r="A18" s="51" t="s">
        <v>33</v>
      </c>
      <c r="B18" s="29">
        <v>0.02</v>
      </c>
      <c r="C18" s="29">
        <v>0.05</v>
      </c>
      <c r="D18" s="29">
        <v>0.09</v>
      </c>
      <c r="E18" s="29">
        <v>0.14000000000000001</v>
      </c>
      <c r="F18" s="29">
        <v>0.19</v>
      </c>
      <c r="G18" s="29">
        <v>0.25</v>
      </c>
      <c r="H18" s="29">
        <v>0.3</v>
      </c>
      <c r="I18" s="29">
        <v>0.37</v>
      </c>
      <c r="J18" s="29">
        <v>0.43</v>
      </c>
      <c r="K18" s="17">
        <v>0.5</v>
      </c>
    </row>
    <row r="19" spans="1:11" x14ac:dyDescent="0.25">
      <c r="A19" s="51" t="s">
        <v>34</v>
      </c>
      <c r="B19" s="29">
        <v>0.01</v>
      </c>
      <c r="C19" s="29">
        <v>0.04</v>
      </c>
      <c r="D19" s="29">
        <v>0.08</v>
      </c>
      <c r="E19" s="29">
        <v>0.13</v>
      </c>
      <c r="F19" s="29">
        <v>0.18</v>
      </c>
      <c r="G19" s="29">
        <v>0.24</v>
      </c>
      <c r="H19" s="29">
        <v>0.31</v>
      </c>
      <c r="I19" s="29">
        <v>0.38</v>
      </c>
      <c r="J19" s="29">
        <v>0.46</v>
      </c>
      <c r="K19" s="17">
        <v>0.55000000000000004</v>
      </c>
    </row>
    <row r="20" spans="1:11" x14ac:dyDescent="0.25">
      <c r="A20" s="51" t="s">
        <v>35</v>
      </c>
      <c r="B20" s="29">
        <v>0.01</v>
      </c>
      <c r="C20" s="29">
        <v>0.03</v>
      </c>
      <c r="D20" s="29">
        <v>0.06</v>
      </c>
      <c r="E20" s="29">
        <v>0.1</v>
      </c>
      <c r="F20" s="29">
        <v>0.16</v>
      </c>
      <c r="G20" s="29">
        <v>0.23</v>
      </c>
      <c r="H20" s="29">
        <v>0.31</v>
      </c>
      <c r="I20" s="29">
        <v>0.41</v>
      </c>
      <c r="J20" s="29">
        <v>0.52</v>
      </c>
      <c r="K20" s="17">
        <v>0.64</v>
      </c>
    </row>
    <row r="21" spans="1:11" x14ac:dyDescent="0.25">
      <c r="A21" s="51" t="s">
        <v>36</v>
      </c>
      <c r="B21" s="29">
        <v>0.02</v>
      </c>
      <c r="C21" s="29">
        <v>0.05</v>
      </c>
      <c r="D21" s="29">
        <v>0.08</v>
      </c>
      <c r="E21" s="29">
        <v>0.12</v>
      </c>
      <c r="F21" s="29">
        <v>0.17</v>
      </c>
      <c r="G21" s="29">
        <v>0.22</v>
      </c>
      <c r="H21" s="29">
        <v>0.27</v>
      </c>
      <c r="I21" s="29">
        <v>0.33</v>
      </c>
      <c r="J21" s="29">
        <v>0.39</v>
      </c>
      <c r="K21" s="17">
        <v>0.45</v>
      </c>
    </row>
    <row r="22" spans="1:11" x14ac:dyDescent="0.25">
      <c r="A22" s="51" t="s">
        <v>37</v>
      </c>
      <c r="B22" s="29">
        <v>0.01</v>
      </c>
      <c r="C22" s="29">
        <v>0.04</v>
      </c>
      <c r="D22" s="29">
        <v>0.09</v>
      </c>
      <c r="E22" s="29">
        <v>0.15</v>
      </c>
      <c r="F22" s="29">
        <v>0.23</v>
      </c>
      <c r="G22" s="29">
        <v>0.32</v>
      </c>
      <c r="H22" s="29">
        <v>0.42</v>
      </c>
      <c r="I22" s="29">
        <v>0.54</v>
      </c>
      <c r="J22" s="29">
        <v>0.66</v>
      </c>
      <c r="K22" s="17">
        <v>0.8</v>
      </c>
    </row>
    <row r="23" spans="1:11" x14ac:dyDescent="0.25">
      <c r="A23" s="51" t="s">
        <v>38</v>
      </c>
      <c r="B23" s="29">
        <v>0.01</v>
      </c>
      <c r="C23" s="29">
        <v>0.02</v>
      </c>
      <c r="D23" s="29">
        <v>0.04</v>
      </c>
      <c r="E23" s="29">
        <v>7.0000000000000007E-2</v>
      </c>
      <c r="F23" s="29">
        <v>0.1</v>
      </c>
      <c r="G23" s="29">
        <v>0.14000000000000001</v>
      </c>
      <c r="H23" s="29">
        <v>0.18</v>
      </c>
      <c r="I23" s="29">
        <v>0.23</v>
      </c>
      <c r="J23" s="29">
        <v>0.28999999999999998</v>
      </c>
      <c r="K23" s="17">
        <v>0.35</v>
      </c>
    </row>
    <row r="24" spans="1:11" x14ac:dyDescent="0.25">
      <c r="A24" s="51" t="s">
        <v>39</v>
      </c>
      <c r="B24" s="29">
        <v>0.01</v>
      </c>
      <c r="C24" s="29">
        <v>0.03</v>
      </c>
      <c r="D24" s="29">
        <v>7.0000000000000007E-2</v>
      </c>
      <c r="E24" s="29">
        <v>0.1</v>
      </c>
      <c r="F24" s="29">
        <v>0.15</v>
      </c>
      <c r="G24" s="29">
        <v>0.2</v>
      </c>
      <c r="H24" s="29">
        <v>0.26</v>
      </c>
      <c r="I24" s="29">
        <v>0.32</v>
      </c>
      <c r="J24" s="29">
        <v>0.38</v>
      </c>
      <c r="K24" s="17">
        <v>0.45</v>
      </c>
    </row>
    <row r="25" spans="1:11" x14ac:dyDescent="0.25">
      <c r="A25" s="52"/>
      <c r="B25" s="49">
        <v>300</v>
      </c>
      <c r="C25" s="49">
        <v>600</v>
      </c>
      <c r="D25" s="49">
        <v>900</v>
      </c>
      <c r="E25" s="49">
        <v>1200</v>
      </c>
      <c r="F25" s="49">
        <v>1500</v>
      </c>
      <c r="G25" s="49">
        <v>1800</v>
      </c>
      <c r="H25" s="49">
        <v>2100</v>
      </c>
      <c r="I25" s="49">
        <v>2400</v>
      </c>
      <c r="J25" s="49">
        <v>2700</v>
      </c>
      <c r="K25" s="50">
        <v>3000</v>
      </c>
    </row>
    <row r="26" spans="1:11" x14ac:dyDescent="0.25">
      <c r="A26" s="51" t="s">
        <v>40</v>
      </c>
      <c r="B26" s="29">
        <v>0</v>
      </c>
      <c r="C26" s="29">
        <v>0.01</v>
      </c>
      <c r="D26" s="29">
        <v>0.02</v>
      </c>
      <c r="E26" s="29">
        <v>0.04</v>
      </c>
      <c r="F26" s="29">
        <v>7.0000000000000007E-2</v>
      </c>
      <c r="G26" s="29">
        <v>0.1</v>
      </c>
      <c r="H26" s="29">
        <v>0.13</v>
      </c>
      <c r="I26" s="29">
        <v>0.17</v>
      </c>
      <c r="J26" s="29">
        <v>0.22</v>
      </c>
      <c r="K26" s="17">
        <v>0.27</v>
      </c>
    </row>
    <row r="27" spans="1:11" x14ac:dyDescent="0.25">
      <c r="A27" s="51" t="s">
        <v>41</v>
      </c>
      <c r="B27" s="29">
        <v>0</v>
      </c>
      <c r="C27" s="29">
        <v>0.01</v>
      </c>
      <c r="D27" s="29">
        <v>0.02</v>
      </c>
      <c r="E27" s="29">
        <v>0.04</v>
      </c>
      <c r="F27" s="29">
        <v>0.06</v>
      </c>
      <c r="G27" s="29">
        <v>0.09</v>
      </c>
      <c r="H27" s="29">
        <v>0.12</v>
      </c>
      <c r="I27" s="29">
        <v>0.16</v>
      </c>
      <c r="J27" s="29">
        <v>0.2</v>
      </c>
      <c r="K27" s="17">
        <v>0.25</v>
      </c>
    </row>
    <row r="28" spans="1:11" x14ac:dyDescent="0.25">
      <c r="A28" s="51" t="s">
        <v>42</v>
      </c>
      <c r="B28" s="29">
        <v>0.01</v>
      </c>
      <c r="C28" s="29">
        <v>0.02</v>
      </c>
      <c r="D28" s="29">
        <v>0.05</v>
      </c>
      <c r="E28" s="29">
        <v>0.09</v>
      </c>
      <c r="F28" s="29">
        <v>0.14000000000000001</v>
      </c>
      <c r="G28" s="29">
        <v>0.19</v>
      </c>
      <c r="H28" s="29">
        <v>0.26</v>
      </c>
      <c r="I28" s="29">
        <v>0.35</v>
      </c>
      <c r="J28" s="29">
        <v>0.44</v>
      </c>
      <c r="K28" s="17">
        <v>0.54</v>
      </c>
    </row>
    <row r="29" spans="1:11" x14ac:dyDescent="0.25">
      <c r="A29" s="51" t="s">
        <v>43</v>
      </c>
      <c r="B29" s="29">
        <v>0.01</v>
      </c>
      <c r="C29" s="29">
        <v>0.04</v>
      </c>
      <c r="D29" s="29">
        <v>0.09</v>
      </c>
      <c r="E29" s="29">
        <v>0.15</v>
      </c>
      <c r="F29" s="29">
        <v>0.23</v>
      </c>
      <c r="G29" s="29">
        <v>0.32</v>
      </c>
      <c r="H29" s="29">
        <v>0.42</v>
      </c>
      <c r="I29" s="29">
        <v>0.53</v>
      </c>
      <c r="J29" s="29">
        <v>0.66</v>
      </c>
      <c r="K29" s="17">
        <v>0.79</v>
      </c>
    </row>
    <row r="30" spans="1:11" x14ac:dyDescent="0.25">
      <c r="A30" s="52"/>
      <c r="B30" s="49">
        <v>100</v>
      </c>
      <c r="C30" s="49">
        <v>200</v>
      </c>
      <c r="D30" s="49">
        <v>300</v>
      </c>
      <c r="E30" s="49">
        <v>400</v>
      </c>
      <c r="F30" s="49">
        <v>500</v>
      </c>
      <c r="G30" s="49">
        <v>600</v>
      </c>
      <c r="H30" s="49">
        <v>700</v>
      </c>
      <c r="I30" s="49">
        <v>800</v>
      </c>
      <c r="J30" s="49">
        <v>900</v>
      </c>
      <c r="K30" s="50">
        <v>1000</v>
      </c>
    </row>
    <row r="31" spans="1:11" x14ac:dyDescent="0.25">
      <c r="A31" s="51" t="s">
        <v>44</v>
      </c>
      <c r="B31" s="29">
        <v>0.01</v>
      </c>
      <c r="C31" s="29">
        <v>0.03</v>
      </c>
      <c r="D31" s="29">
        <v>0.06</v>
      </c>
      <c r="E31" s="29">
        <v>0.1</v>
      </c>
      <c r="F31" s="29">
        <v>0.14000000000000001</v>
      </c>
      <c r="G31" s="29">
        <v>0.19</v>
      </c>
      <c r="H31" s="29">
        <v>0.25</v>
      </c>
      <c r="I31" s="29">
        <v>0.31</v>
      </c>
      <c r="J31" s="29">
        <v>0.38</v>
      </c>
      <c r="K31" s="17">
        <v>0.46</v>
      </c>
    </row>
    <row r="32" spans="1:11" x14ac:dyDescent="0.25">
      <c r="A32" s="51" t="s">
        <v>45</v>
      </c>
      <c r="B32" s="29">
        <v>0</v>
      </c>
      <c r="C32" s="29">
        <v>0.02</v>
      </c>
      <c r="D32" s="29">
        <v>0.04</v>
      </c>
      <c r="E32" s="29">
        <v>7.0000000000000007E-2</v>
      </c>
      <c r="F32" s="29">
        <v>0.11</v>
      </c>
      <c r="G32" s="29">
        <v>0.16</v>
      </c>
      <c r="H32" s="29">
        <v>0.22</v>
      </c>
      <c r="I32" s="29">
        <v>0.28000000000000003</v>
      </c>
      <c r="J32" s="29">
        <v>0.36</v>
      </c>
      <c r="K32" s="17">
        <v>0.44</v>
      </c>
    </row>
    <row r="33" spans="1:11" x14ac:dyDescent="0.25">
      <c r="A33" s="51" t="s">
        <v>46</v>
      </c>
      <c r="B33" s="29">
        <v>0.01</v>
      </c>
      <c r="C33" s="29">
        <v>0.02</v>
      </c>
      <c r="D33" s="29">
        <v>0.05</v>
      </c>
      <c r="E33" s="29">
        <v>0.08</v>
      </c>
      <c r="F33" s="29">
        <v>0.12</v>
      </c>
      <c r="G33" s="29">
        <v>0.17</v>
      </c>
      <c r="H33" s="29">
        <v>0.23</v>
      </c>
      <c r="I33" s="29">
        <v>0.28999999999999998</v>
      </c>
      <c r="J33" s="29">
        <v>0.36</v>
      </c>
      <c r="K33" s="17">
        <v>0.43</v>
      </c>
    </row>
    <row r="34" spans="1:11" x14ac:dyDescent="0.25">
      <c r="A34" s="51" t="s">
        <v>47</v>
      </c>
      <c r="B34" s="29">
        <v>0.03</v>
      </c>
      <c r="C34" s="29">
        <v>7.0000000000000007E-2</v>
      </c>
      <c r="D34" s="29">
        <v>0.12</v>
      </c>
      <c r="E34" s="29">
        <v>0.18</v>
      </c>
      <c r="F34" s="29">
        <v>0.24</v>
      </c>
      <c r="G34" s="29">
        <v>0.3</v>
      </c>
      <c r="H34" s="29">
        <v>0.37</v>
      </c>
      <c r="I34" s="29">
        <v>0.44</v>
      </c>
      <c r="J34" s="29">
        <v>0.51</v>
      </c>
      <c r="K34" s="17">
        <v>0.59</v>
      </c>
    </row>
    <row r="35" spans="1:11" x14ac:dyDescent="0.25">
      <c r="A35" s="51" t="s">
        <v>48</v>
      </c>
      <c r="B35" s="29">
        <v>0</v>
      </c>
      <c r="C35" s="29">
        <v>0.01</v>
      </c>
      <c r="D35" s="29">
        <v>0.03</v>
      </c>
      <c r="E35" s="29">
        <v>0.06</v>
      </c>
      <c r="F35" s="29">
        <v>0.09</v>
      </c>
      <c r="G35" s="29">
        <v>0.13</v>
      </c>
      <c r="H35" s="29">
        <v>0.18</v>
      </c>
      <c r="I35" s="29">
        <v>0.23</v>
      </c>
      <c r="J35" s="29">
        <v>0.28999999999999998</v>
      </c>
      <c r="K35" s="17">
        <v>0.36</v>
      </c>
    </row>
    <row r="36" spans="1:11" x14ac:dyDescent="0.25">
      <c r="A36" s="51" t="s">
        <v>49</v>
      </c>
      <c r="B36" s="29">
        <v>0</v>
      </c>
      <c r="C36" s="29">
        <v>0.01</v>
      </c>
      <c r="D36" s="29">
        <v>0.03</v>
      </c>
      <c r="E36" s="29">
        <v>0.05</v>
      </c>
      <c r="F36" s="29">
        <v>7.0000000000000007E-2</v>
      </c>
      <c r="G36" s="29">
        <v>0.11</v>
      </c>
      <c r="H36" s="29">
        <v>0.15</v>
      </c>
      <c r="I36" s="29">
        <v>0.2</v>
      </c>
      <c r="J36" s="29">
        <v>0.26</v>
      </c>
      <c r="K36" s="17">
        <v>0.32</v>
      </c>
    </row>
    <row r="37" spans="1:11" x14ac:dyDescent="0.25">
      <c r="A37" s="51" t="s">
        <v>50</v>
      </c>
      <c r="B37" s="29">
        <v>0</v>
      </c>
      <c r="C37" s="29">
        <v>0.01</v>
      </c>
      <c r="D37" s="29">
        <v>0.03</v>
      </c>
      <c r="E37" s="29">
        <v>0.05</v>
      </c>
      <c r="F37" s="29">
        <v>7.0000000000000007E-2</v>
      </c>
      <c r="G37" s="29">
        <v>0.11</v>
      </c>
      <c r="H37" s="29">
        <v>0.15</v>
      </c>
      <c r="I37" s="29">
        <v>0.2</v>
      </c>
      <c r="J37" s="29">
        <v>0.26</v>
      </c>
      <c r="K37" s="17">
        <v>0.32</v>
      </c>
    </row>
    <row r="38" spans="1:11" x14ac:dyDescent="0.25">
      <c r="A38" s="51" t="s">
        <v>51</v>
      </c>
      <c r="B38" s="29">
        <v>0.03</v>
      </c>
      <c r="C38" s="29">
        <v>0.08</v>
      </c>
      <c r="D38" s="29">
        <v>0.13</v>
      </c>
      <c r="E38" s="29">
        <v>0.19</v>
      </c>
      <c r="F38" s="29">
        <v>0.26</v>
      </c>
      <c r="G38" s="29">
        <v>0.32</v>
      </c>
      <c r="H38" s="29">
        <v>0.4</v>
      </c>
      <c r="I38" s="29">
        <v>0.47</v>
      </c>
      <c r="J38" s="29">
        <v>0.55000000000000004</v>
      </c>
      <c r="K38" s="17">
        <v>0.63</v>
      </c>
    </row>
    <row r="39" spans="1:11" x14ac:dyDescent="0.25">
      <c r="A39" s="52"/>
      <c r="B39" s="49">
        <v>200</v>
      </c>
      <c r="C39" s="49">
        <v>400</v>
      </c>
      <c r="D39" s="49">
        <v>600</v>
      </c>
      <c r="E39" s="49">
        <v>800</v>
      </c>
      <c r="F39" s="49">
        <v>1000</v>
      </c>
      <c r="G39" s="49">
        <v>1200</v>
      </c>
      <c r="H39" s="49">
        <v>1400</v>
      </c>
      <c r="I39" s="49">
        <v>1600</v>
      </c>
      <c r="J39" s="49">
        <v>1800</v>
      </c>
      <c r="K39" s="50">
        <v>2000</v>
      </c>
    </row>
    <row r="40" spans="1:11" x14ac:dyDescent="0.25">
      <c r="A40" s="51" t="s">
        <v>52</v>
      </c>
      <c r="B40" s="29">
        <v>0.05</v>
      </c>
      <c r="C40" s="29">
        <v>0.12</v>
      </c>
      <c r="D40" s="29">
        <v>0.21</v>
      </c>
      <c r="E40" s="29">
        <v>0.31</v>
      </c>
      <c r="F40" s="29">
        <v>0.41</v>
      </c>
      <c r="G40" s="29">
        <v>0.52</v>
      </c>
      <c r="H40" s="29">
        <v>0.63</v>
      </c>
      <c r="I40" s="29">
        <v>0.76</v>
      </c>
      <c r="J40" s="29">
        <v>0.88</v>
      </c>
      <c r="K40" s="17">
        <v>1.01</v>
      </c>
    </row>
    <row r="41" spans="1:11" x14ac:dyDescent="0.25">
      <c r="A41" s="51" t="s">
        <v>53</v>
      </c>
      <c r="B41" s="29">
        <v>0.02</v>
      </c>
      <c r="C41" s="29">
        <v>0.05</v>
      </c>
      <c r="D41" s="29">
        <v>0.09</v>
      </c>
      <c r="E41" s="29">
        <v>0.14000000000000001</v>
      </c>
      <c r="F41" s="29">
        <v>0.2</v>
      </c>
      <c r="G41" s="29">
        <v>0.27</v>
      </c>
      <c r="H41" s="29">
        <v>0.34</v>
      </c>
      <c r="I41" s="29">
        <v>0.42</v>
      </c>
      <c r="J41" s="29">
        <v>0.51</v>
      </c>
      <c r="K41" s="17">
        <v>0.61</v>
      </c>
    </row>
    <row r="42" spans="1:11" x14ac:dyDescent="0.25">
      <c r="A42" s="51" t="s">
        <v>54</v>
      </c>
      <c r="B42" s="29">
        <v>0.02</v>
      </c>
      <c r="C42" s="29">
        <v>0.05</v>
      </c>
      <c r="D42" s="29">
        <v>0.09</v>
      </c>
      <c r="E42" s="29">
        <v>0.14000000000000001</v>
      </c>
      <c r="F42" s="29">
        <v>0.2</v>
      </c>
      <c r="G42" s="29">
        <v>0.27</v>
      </c>
      <c r="H42" s="29">
        <v>0.34</v>
      </c>
      <c r="I42" s="29">
        <v>0.42</v>
      </c>
      <c r="J42" s="29">
        <v>0.51</v>
      </c>
      <c r="K42" s="17">
        <v>0.61</v>
      </c>
    </row>
    <row r="43" spans="1:11" x14ac:dyDescent="0.25">
      <c r="A43" s="51" t="s">
        <v>55</v>
      </c>
      <c r="B43" s="29">
        <v>0.03</v>
      </c>
      <c r="C43" s="29">
        <v>0.08</v>
      </c>
      <c r="D43" s="29">
        <v>0.14000000000000001</v>
      </c>
      <c r="E43" s="29">
        <v>0.2</v>
      </c>
      <c r="F43" s="29">
        <v>0.28000000000000003</v>
      </c>
      <c r="G43" s="29">
        <v>0.36</v>
      </c>
      <c r="H43" s="29">
        <v>0.45</v>
      </c>
      <c r="I43" s="29">
        <v>0.54</v>
      </c>
      <c r="J43" s="29">
        <v>0.64</v>
      </c>
      <c r="K43" s="17">
        <v>0.74</v>
      </c>
    </row>
    <row r="44" spans="1:11" x14ac:dyDescent="0.25">
      <c r="A44" s="51" t="s">
        <v>56</v>
      </c>
      <c r="B44" s="29">
        <v>0.01</v>
      </c>
      <c r="C44" s="29">
        <v>0.04</v>
      </c>
      <c r="D44" s="29">
        <v>0.09</v>
      </c>
      <c r="E44" s="29">
        <v>0.15</v>
      </c>
      <c r="F44" s="29">
        <v>0.22</v>
      </c>
      <c r="G44" s="29">
        <v>0.31</v>
      </c>
      <c r="H44" s="29">
        <v>0.4</v>
      </c>
      <c r="I44" s="29">
        <v>0.51</v>
      </c>
      <c r="J44" s="29">
        <v>0.63</v>
      </c>
      <c r="K44" s="17">
        <v>0.77</v>
      </c>
    </row>
    <row r="45" spans="1:11" x14ac:dyDescent="0.25">
      <c r="A45" s="51" t="s">
        <v>57</v>
      </c>
      <c r="B45" s="29">
        <v>0.01</v>
      </c>
      <c r="C45" s="29">
        <v>0.04</v>
      </c>
      <c r="D45" s="29">
        <v>7.0000000000000007E-2</v>
      </c>
      <c r="E45" s="29">
        <v>0.11</v>
      </c>
      <c r="F45" s="29">
        <v>0.16</v>
      </c>
      <c r="G45" s="29">
        <v>0.21</v>
      </c>
      <c r="H45" s="29">
        <v>0.27</v>
      </c>
      <c r="I45" s="29">
        <v>0.34</v>
      </c>
      <c r="J45" s="29">
        <v>0.41</v>
      </c>
      <c r="K45" s="17">
        <v>0.49</v>
      </c>
    </row>
    <row r="46" spans="1:11" ht="14.25" thickBot="1" x14ac:dyDescent="0.3">
      <c r="A46" s="51" t="s">
        <v>58</v>
      </c>
      <c r="B46" s="29">
        <v>0.02</v>
      </c>
      <c r="C46" s="29">
        <v>0.06</v>
      </c>
      <c r="D46" s="29">
        <v>0.1</v>
      </c>
      <c r="E46" s="29">
        <v>0.14000000000000001</v>
      </c>
      <c r="F46" s="29">
        <v>0.19</v>
      </c>
      <c r="G46" s="29">
        <v>0.24</v>
      </c>
      <c r="H46" s="29">
        <v>0.28999999999999998</v>
      </c>
      <c r="I46" s="29">
        <v>0.35</v>
      </c>
      <c r="J46" s="29">
        <v>0.41</v>
      </c>
      <c r="K46" s="17">
        <v>0.47</v>
      </c>
    </row>
    <row r="47" spans="1:11" ht="14.25" thickBot="1" x14ac:dyDescent="0.3">
      <c r="A47" s="292" t="s">
        <v>7</v>
      </c>
      <c r="B47" s="292"/>
      <c r="C47" s="292"/>
      <c r="D47" s="292"/>
      <c r="E47" s="292"/>
      <c r="F47" s="292"/>
      <c r="G47" s="292"/>
      <c r="H47" s="292"/>
      <c r="I47" s="292"/>
      <c r="J47" s="292"/>
      <c r="K47" s="292"/>
    </row>
    <row r="50" spans="2:2" x14ac:dyDescent="0.25">
      <c r="B50" s="27"/>
    </row>
    <row r="51" spans="2:2" x14ac:dyDescent="0.25">
      <c r="B51" s="30"/>
    </row>
    <row r="52" spans="2:2" x14ac:dyDescent="0.25">
      <c r="B52" s="30"/>
    </row>
    <row r="53" spans="2:2" x14ac:dyDescent="0.25">
      <c r="B53" s="30"/>
    </row>
    <row r="54" spans="2:2" x14ac:dyDescent="0.25">
      <c r="B54" s="30"/>
    </row>
    <row r="55" spans="2:2" x14ac:dyDescent="0.25">
      <c r="B55" s="30"/>
    </row>
    <row r="56" spans="2:2" x14ac:dyDescent="0.25">
      <c r="B56" s="30"/>
    </row>
    <row r="57" spans="2:2" x14ac:dyDescent="0.25">
      <c r="B57" s="30"/>
    </row>
    <row r="58" spans="2:2" x14ac:dyDescent="0.25">
      <c r="B58" s="30"/>
    </row>
    <row r="59" spans="2:2" x14ac:dyDescent="0.25">
      <c r="B59" s="30"/>
    </row>
    <row r="60" spans="2:2" x14ac:dyDescent="0.25">
      <c r="B60" s="30"/>
    </row>
    <row r="61" spans="2:2" x14ac:dyDescent="0.25">
      <c r="B61" s="30"/>
    </row>
    <row r="62" spans="2:2" x14ac:dyDescent="0.25">
      <c r="B62" s="30"/>
    </row>
    <row r="63" spans="2:2" x14ac:dyDescent="0.25">
      <c r="B63" s="30"/>
    </row>
    <row r="64" spans="2:2" x14ac:dyDescent="0.25">
      <c r="B64" s="30"/>
    </row>
    <row r="65" spans="2:2" x14ac:dyDescent="0.25">
      <c r="B65" s="30"/>
    </row>
    <row r="66" spans="2:2" x14ac:dyDescent="0.25">
      <c r="B66" s="30"/>
    </row>
    <row r="67" spans="2:2" x14ac:dyDescent="0.25">
      <c r="B67" s="30"/>
    </row>
    <row r="68" spans="2:2" x14ac:dyDescent="0.25">
      <c r="B68" s="30"/>
    </row>
    <row r="69" spans="2:2" x14ac:dyDescent="0.25">
      <c r="B69" s="30"/>
    </row>
    <row r="70" spans="2:2" x14ac:dyDescent="0.25">
      <c r="B70" s="30"/>
    </row>
    <row r="71" spans="2:2" x14ac:dyDescent="0.25">
      <c r="B71" s="30"/>
    </row>
    <row r="72" spans="2:2" x14ac:dyDescent="0.25">
      <c r="B72" s="30"/>
    </row>
    <row r="73" spans="2:2" x14ac:dyDescent="0.25">
      <c r="B73" s="30"/>
    </row>
    <row r="74" spans="2:2" x14ac:dyDescent="0.25">
      <c r="B74" s="30"/>
    </row>
    <row r="75" spans="2:2" x14ac:dyDescent="0.25">
      <c r="B75" s="30"/>
    </row>
    <row r="76" spans="2:2" x14ac:dyDescent="0.25">
      <c r="B76" s="30"/>
    </row>
    <row r="77" spans="2:2" x14ac:dyDescent="0.25">
      <c r="B77" s="30"/>
    </row>
    <row r="78" spans="2:2" x14ac:dyDescent="0.25">
      <c r="B78" s="30"/>
    </row>
    <row r="79" spans="2:2" x14ac:dyDescent="0.25">
      <c r="B79" s="30"/>
    </row>
    <row r="80" spans="2:2" x14ac:dyDescent="0.25">
      <c r="B80" s="30"/>
    </row>
    <row r="81" spans="2:2" x14ac:dyDescent="0.25">
      <c r="B81" s="30"/>
    </row>
    <row r="82" spans="2:2" x14ac:dyDescent="0.25">
      <c r="B82" s="30"/>
    </row>
    <row r="83" spans="2:2" x14ac:dyDescent="0.25">
      <c r="B83" s="30"/>
    </row>
    <row r="84" spans="2:2" x14ac:dyDescent="0.25">
      <c r="B84" s="30"/>
    </row>
    <row r="85" spans="2:2" x14ac:dyDescent="0.25">
      <c r="B85" s="30"/>
    </row>
    <row r="86" spans="2:2" x14ac:dyDescent="0.25">
      <c r="B86" s="30"/>
    </row>
    <row r="87" spans="2:2" x14ac:dyDescent="0.25">
      <c r="B87" s="30"/>
    </row>
    <row r="88" spans="2:2" x14ac:dyDescent="0.25">
      <c r="B88" s="30"/>
    </row>
    <row r="89" spans="2:2" x14ac:dyDescent="0.25">
      <c r="B89" s="30"/>
    </row>
    <row r="90" spans="2:2" x14ac:dyDescent="0.25">
      <c r="B90" s="30"/>
    </row>
    <row r="91" spans="2:2" x14ac:dyDescent="0.25">
      <c r="B91" s="30"/>
    </row>
    <row r="92" spans="2:2" x14ac:dyDescent="0.25">
      <c r="B92" s="30"/>
    </row>
    <row r="93" spans="2:2" x14ac:dyDescent="0.25">
      <c r="B93" s="30"/>
    </row>
    <row r="94" spans="2:2" x14ac:dyDescent="0.25">
      <c r="B94" s="30"/>
    </row>
    <row r="95" spans="2:2" x14ac:dyDescent="0.25">
      <c r="B95" s="30"/>
    </row>
    <row r="96" spans="2:2" x14ac:dyDescent="0.25">
      <c r="B96" s="30"/>
    </row>
    <row r="97" spans="2:2" x14ac:dyDescent="0.25">
      <c r="B97" s="30"/>
    </row>
    <row r="98" spans="2:2" x14ac:dyDescent="0.25">
      <c r="B98" s="30"/>
    </row>
    <row r="99" spans="2:2" x14ac:dyDescent="0.25">
      <c r="B99" s="30"/>
    </row>
    <row r="100" spans="2:2" x14ac:dyDescent="0.25">
      <c r="B100" s="30"/>
    </row>
    <row r="101" spans="2:2" x14ac:dyDescent="0.25">
      <c r="B101" s="30"/>
    </row>
    <row r="102" spans="2:2" x14ac:dyDescent="0.25">
      <c r="B102" s="30"/>
    </row>
    <row r="103" spans="2:2" x14ac:dyDescent="0.25">
      <c r="B103" s="30"/>
    </row>
    <row r="104" spans="2:2" x14ac:dyDescent="0.25">
      <c r="B104" s="30"/>
    </row>
    <row r="105" spans="2:2" x14ac:dyDescent="0.25">
      <c r="B105" s="30"/>
    </row>
    <row r="106" spans="2:2" x14ac:dyDescent="0.25">
      <c r="B106" s="30"/>
    </row>
    <row r="107" spans="2:2" x14ac:dyDescent="0.25">
      <c r="B107" s="30"/>
    </row>
    <row r="108" spans="2:2" x14ac:dyDescent="0.25">
      <c r="B108" s="30"/>
    </row>
    <row r="109" spans="2:2" x14ac:dyDescent="0.25">
      <c r="B109" s="30"/>
    </row>
    <row r="110" spans="2:2" x14ac:dyDescent="0.25">
      <c r="B110" s="30"/>
    </row>
    <row r="111" spans="2:2" x14ac:dyDescent="0.25">
      <c r="B111" s="30"/>
    </row>
    <row r="112" spans="2:2" x14ac:dyDescent="0.25">
      <c r="B112" s="30"/>
    </row>
    <row r="113" spans="2:2" x14ac:dyDescent="0.25">
      <c r="B113" s="30"/>
    </row>
    <row r="114" spans="2:2" x14ac:dyDescent="0.25">
      <c r="B114" s="30"/>
    </row>
    <row r="115" spans="2:2" x14ac:dyDescent="0.25">
      <c r="B115" s="30"/>
    </row>
    <row r="116" spans="2:2" x14ac:dyDescent="0.25">
      <c r="B116" s="30"/>
    </row>
    <row r="117" spans="2:2" x14ac:dyDescent="0.25">
      <c r="B117" s="30"/>
    </row>
    <row r="118" spans="2:2" x14ac:dyDescent="0.25">
      <c r="B118" s="30"/>
    </row>
    <row r="119" spans="2:2" x14ac:dyDescent="0.25">
      <c r="B119" s="30"/>
    </row>
    <row r="120" spans="2:2" x14ac:dyDescent="0.25">
      <c r="B120" s="30"/>
    </row>
    <row r="121" spans="2:2" x14ac:dyDescent="0.25">
      <c r="B121" s="30"/>
    </row>
    <row r="122" spans="2:2" x14ac:dyDescent="0.25">
      <c r="B122" s="30"/>
    </row>
    <row r="123" spans="2:2" x14ac:dyDescent="0.25">
      <c r="B123" s="30"/>
    </row>
    <row r="124" spans="2:2" x14ac:dyDescent="0.25">
      <c r="B124" s="30"/>
    </row>
    <row r="125" spans="2:2" x14ac:dyDescent="0.25">
      <c r="B125" s="30"/>
    </row>
    <row r="126" spans="2:2" x14ac:dyDescent="0.25">
      <c r="B126" s="30"/>
    </row>
    <row r="127" spans="2:2" x14ac:dyDescent="0.25">
      <c r="B127" s="30"/>
    </row>
    <row r="128" spans="2:2" x14ac:dyDescent="0.25">
      <c r="B128" s="30"/>
    </row>
    <row r="129" spans="2:2" x14ac:dyDescent="0.25">
      <c r="B129" s="30"/>
    </row>
    <row r="130" spans="2:2" x14ac:dyDescent="0.25">
      <c r="B130" s="30"/>
    </row>
    <row r="131" spans="2:2" x14ac:dyDescent="0.25">
      <c r="B131" s="30"/>
    </row>
    <row r="132" spans="2:2" x14ac:dyDescent="0.25">
      <c r="B132" s="30"/>
    </row>
    <row r="133" spans="2:2" x14ac:dyDescent="0.25">
      <c r="B133" s="30"/>
    </row>
    <row r="134" spans="2:2" x14ac:dyDescent="0.25">
      <c r="B134" s="30"/>
    </row>
    <row r="135" spans="2:2" x14ac:dyDescent="0.25">
      <c r="B135" s="30"/>
    </row>
    <row r="136" spans="2:2" x14ac:dyDescent="0.25">
      <c r="B136" s="30"/>
    </row>
    <row r="137" spans="2:2" x14ac:dyDescent="0.25">
      <c r="B137" s="30"/>
    </row>
    <row r="138" spans="2:2" x14ac:dyDescent="0.25">
      <c r="B138" s="30"/>
    </row>
    <row r="139" spans="2:2" x14ac:dyDescent="0.25">
      <c r="B139" s="30"/>
    </row>
    <row r="140" spans="2:2" x14ac:dyDescent="0.25">
      <c r="B140" s="30"/>
    </row>
    <row r="141" spans="2:2" x14ac:dyDescent="0.25">
      <c r="B141" s="30"/>
    </row>
    <row r="142" spans="2:2" x14ac:dyDescent="0.25">
      <c r="B142" s="30"/>
    </row>
    <row r="143" spans="2:2" x14ac:dyDescent="0.25">
      <c r="B143" s="30"/>
    </row>
    <row r="144" spans="2:2" x14ac:dyDescent="0.25">
      <c r="B144" s="30"/>
    </row>
    <row r="145" spans="2:2" x14ac:dyDescent="0.25">
      <c r="B145" s="30"/>
    </row>
    <row r="146" spans="2:2" x14ac:dyDescent="0.25">
      <c r="B146" s="30"/>
    </row>
    <row r="147" spans="2:2" x14ac:dyDescent="0.25">
      <c r="B147" s="30"/>
    </row>
    <row r="148" spans="2:2" x14ac:dyDescent="0.25">
      <c r="B148" s="30"/>
    </row>
    <row r="149" spans="2:2" x14ac:dyDescent="0.25">
      <c r="B149" s="30"/>
    </row>
    <row r="150" spans="2:2" x14ac:dyDescent="0.25">
      <c r="B150" s="30"/>
    </row>
    <row r="151" spans="2:2" x14ac:dyDescent="0.25">
      <c r="B151" s="30"/>
    </row>
  </sheetData>
  <sheetProtection algorithmName="SHA-512" hashValue="8t83G09lqaR2irvxpCvbjfC68WjZXiA5mKepVB/qf9kaezg8zrQSN9y6bDfiCY4C5FYdN0peJJzrNgQMse4MYg==" saltValue="/ZA69t3fBeEzZ3vZ69IAiw==" spinCount="100000" sheet="1" objects="1" scenarios="1"/>
  <mergeCells count="3">
    <mergeCell ref="A1:K1"/>
    <mergeCell ref="B2:K2"/>
    <mergeCell ref="A47:K47"/>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447F8-A279-4B31-A4D9-30C4FFB75F46}">
  <sheetPr>
    <pageSetUpPr fitToPage="1"/>
  </sheetPr>
  <dimension ref="A1:N20"/>
  <sheetViews>
    <sheetView workbookViewId="0">
      <selection activeCell="P7" sqref="P7"/>
    </sheetView>
  </sheetViews>
  <sheetFormatPr defaultRowHeight="13.5" x14ac:dyDescent="0.25"/>
  <cols>
    <col min="1" max="1" width="33.42578125" style="1" bestFit="1" customWidth="1"/>
    <col min="2" max="2" width="9.85546875" style="1" bestFit="1" customWidth="1"/>
    <col min="3" max="3" width="7.7109375" style="1" bestFit="1" customWidth="1"/>
    <col min="4" max="4" width="7.140625" style="1" bestFit="1" customWidth="1"/>
    <col min="5" max="5" width="8" style="1" bestFit="1" customWidth="1"/>
    <col min="6" max="6" width="9.140625" style="1"/>
    <col min="7" max="9" width="8" style="1" bestFit="1" customWidth="1"/>
    <col min="10" max="10" width="12.28515625" style="1" bestFit="1" customWidth="1"/>
    <col min="11" max="11" width="8" style="1" bestFit="1" customWidth="1"/>
    <col min="12" max="12" width="10.85546875" style="1" bestFit="1" customWidth="1"/>
    <col min="13" max="13" width="10.140625" style="1" bestFit="1" customWidth="1"/>
    <col min="14" max="14" width="5.42578125" style="1" bestFit="1" customWidth="1"/>
    <col min="15" max="16384" width="9.140625" style="1"/>
  </cols>
  <sheetData>
    <row r="1" spans="1:14" s="21" customFormat="1" x14ac:dyDescent="0.25">
      <c r="A1" s="20">
        <v>1</v>
      </c>
      <c r="B1" s="20">
        <v>2</v>
      </c>
      <c r="C1" s="20">
        <v>3</v>
      </c>
      <c r="D1" s="20">
        <v>4</v>
      </c>
      <c r="E1" s="20">
        <v>5</v>
      </c>
      <c r="F1" s="20">
        <v>6</v>
      </c>
      <c r="G1" s="20">
        <v>7</v>
      </c>
      <c r="H1" s="20">
        <v>8</v>
      </c>
      <c r="I1" s="20">
        <v>9</v>
      </c>
      <c r="J1" s="20">
        <v>10</v>
      </c>
      <c r="K1" s="20">
        <v>11</v>
      </c>
      <c r="L1" s="20">
        <v>12</v>
      </c>
      <c r="M1" s="20">
        <v>13</v>
      </c>
      <c r="N1" s="20">
        <v>14</v>
      </c>
    </row>
    <row r="2" spans="1:14" ht="40.5" x14ac:dyDescent="0.25">
      <c r="A2" s="53" t="s">
        <v>59</v>
      </c>
      <c r="B2" s="54" t="s">
        <v>60</v>
      </c>
      <c r="C2" s="55" t="s">
        <v>61</v>
      </c>
      <c r="D2" s="55" t="s">
        <v>62</v>
      </c>
      <c r="E2" s="55" t="s">
        <v>63</v>
      </c>
      <c r="F2" s="55" t="s">
        <v>64</v>
      </c>
      <c r="G2" s="54" t="s">
        <v>65</v>
      </c>
      <c r="H2" s="54" t="s">
        <v>66</v>
      </c>
      <c r="I2" s="54" t="s">
        <v>67</v>
      </c>
      <c r="J2" s="54" t="s">
        <v>68</v>
      </c>
      <c r="K2" s="54" t="s">
        <v>69</v>
      </c>
      <c r="L2" s="54" t="s">
        <v>70</v>
      </c>
      <c r="M2" s="55" t="s">
        <v>71</v>
      </c>
      <c r="N2" s="55" t="s">
        <v>72</v>
      </c>
    </row>
    <row r="3" spans="1:14" x14ac:dyDescent="0.25">
      <c r="A3" s="56" t="s">
        <v>73</v>
      </c>
      <c r="B3" s="57">
        <v>0</v>
      </c>
      <c r="C3" s="58">
        <v>0</v>
      </c>
      <c r="D3" s="58">
        <v>0</v>
      </c>
      <c r="E3" s="59">
        <v>0</v>
      </c>
      <c r="F3" s="60">
        <v>0</v>
      </c>
      <c r="G3" s="57">
        <v>0</v>
      </c>
      <c r="H3" s="57">
        <v>0</v>
      </c>
      <c r="I3" s="57">
        <v>0</v>
      </c>
      <c r="J3" s="57">
        <v>0</v>
      </c>
      <c r="K3" s="57">
        <v>0</v>
      </c>
      <c r="L3" s="57">
        <v>0</v>
      </c>
      <c r="M3" s="59">
        <v>0</v>
      </c>
      <c r="N3" s="61">
        <v>0</v>
      </c>
    </row>
    <row r="4" spans="1:14" x14ac:dyDescent="0.25">
      <c r="A4" s="62" t="s">
        <v>74</v>
      </c>
      <c r="B4" s="63">
        <v>268000</v>
      </c>
      <c r="C4" s="64">
        <v>200</v>
      </c>
      <c r="D4" s="64">
        <v>8</v>
      </c>
      <c r="E4" s="65">
        <v>12.86</v>
      </c>
      <c r="F4" s="66">
        <v>0.25700000000000001</v>
      </c>
      <c r="G4" s="67">
        <v>7.3</v>
      </c>
      <c r="H4" s="67">
        <v>9.75</v>
      </c>
      <c r="I4" s="67">
        <v>10.79</v>
      </c>
      <c r="J4" s="67">
        <v>27.85</v>
      </c>
      <c r="K4" s="67">
        <v>51.68</v>
      </c>
      <c r="L4" s="67">
        <v>79.53</v>
      </c>
      <c r="M4" s="65">
        <f>1/F4</f>
        <v>3.8910505836575875</v>
      </c>
      <c r="N4" s="68">
        <v>250</v>
      </c>
    </row>
    <row r="5" spans="1:14" x14ac:dyDescent="0.25">
      <c r="A5" s="69" t="s">
        <v>75</v>
      </c>
      <c r="B5" s="70">
        <v>351000</v>
      </c>
      <c r="C5" s="71">
        <v>200</v>
      </c>
      <c r="D5" s="71">
        <v>8</v>
      </c>
      <c r="E5" s="72">
        <v>18.010000000000002</v>
      </c>
      <c r="F5" s="73">
        <v>0.25700000000000001</v>
      </c>
      <c r="G5" s="74">
        <v>7.3</v>
      </c>
      <c r="H5" s="74">
        <v>13.65</v>
      </c>
      <c r="I5" s="74">
        <v>14.13</v>
      </c>
      <c r="J5" s="74">
        <v>35.090000000000003</v>
      </c>
      <c r="K5" s="74">
        <v>67.69</v>
      </c>
      <c r="L5" s="74">
        <v>102.79</v>
      </c>
      <c r="M5" s="72">
        <f t="shared" ref="M5:M20" si="0">1/F5</f>
        <v>3.8910505836575875</v>
      </c>
      <c r="N5" s="75">
        <v>350</v>
      </c>
    </row>
    <row r="6" spans="1:14" x14ac:dyDescent="0.25">
      <c r="A6" s="62" t="s">
        <v>76</v>
      </c>
      <c r="B6" s="63">
        <v>357000</v>
      </c>
      <c r="C6" s="64">
        <v>200</v>
      </c>
      <c r="D6" s="64">
        <v>8</v>
      </c>
      <c r="E6" s="65">
        <v>18.010000000000002</v>
      </c>
      <c r="F6" s="66">
        <v>0.17199999999999999</v>
      </c>
      <c r="G6" s="67">
        <v>4.88</v>
      </c>
      <c r="H6" s="67">
        <v>9.1199999999999992</v>
      </c>
      <c r="I6" s="67">
        <v>9.61</v>
      </c>
      <c r="J6" s="67">
        <v>23.62</v>
      </c>
      <c r="K6" s="67">
        <v>46.02</v>
      </c>
      <c r="L6" s="67">
        <v>69.64</v>
      </c>
      <c r="M6" s="65">
        <f t="shared" si="0"/>
        <v>5.8139534883720936</v>
      </c>
      <c r="N6" s="68">
        <v>350</v>
      </c>
    </row>
    <row r="7" spans="1:14" x14ac:dyDescent="0.25">
      <c r="A7" s="69" t="s">
        <v>77</v>
      </c>
      <c r="B7" s="70">
        <v>465000</v>
      </c>
      <c r="C7" s="71">
        <v>200</v>
      </c>
      <c r="D7" s="71">
        <v>8</v>
      </c>
      <c r="E7" s="72">
        <v>18.27</v>
      </c>
      <c r="F7" s="73">
        <v>0.218</v>
      </c>
      <c r="G7" s="74">
        <v>6.18</v>
      </c>
      <c r="H7" s="74">
        <v>11.72</v>
      </c>
      <c r="I7" s="74">
        <v>15.85</v>
      </c>
      <c r="J7" s="74">
        <v>33.76</v>
      </c>
      <c r="K7" s="74">
        <v>75.92</v>
      </c>
      <c r="L7" s="74">
        <v>109.69</v>
      </c>
      <c r="M7" s="72">
        <f t="shared" si="0"/>
        <v>4.5871559633027523</v>
      </c>
      <c r="N7" s="75">
        <v>355</v>
      </c>
    </row>
    <row r="8" spans="1:14" x14ac:dyDescent="0.25">
      <c r="A8" s="62" t="s">
        <v>78</v>
      </c>
      <c r="B8" s="63">
        <v>465000</v>
      </c>
      <c r="C8" s="64">
        <v>200</v>
      </c>
      <c r="D8" s="64">
        <v>8</v>
      </c>
      <c r="E8" s="65">
        <v>18.27</v>
      </c>
      <c r="F8" s="66">
        <v>0.17199999999999999</v>
      </c>
      <c r="G8" s="67">
        <v>4.88</v>
      </c>
      <c r="H8" s="67">
        <v>9.25</v>
      </c>
      <c r="I8" s="67">
        <v>12.51</v>
      </c>
      <c r="J8" s="67">
        <v>26.65</v>
      </c>
      <c r="K8" s="67">
        <v>59.94</v>
      </c>
      <c r="L8" s="67">
        <v>86.6</v>
      </c>
      <c r="M8" s="65">
        <f t="shared" si="0"/>
        <v>5.8139534883720936</v>
      </c>
      <c r="N8" s="68">
        <v>355</v>
      </c>
    </row>
    <row r="9" spans="1:14" x14ac:dyDescent="0.25">
      <c r="A9" s="69" t="s">
        <v>79</v>
      </c>
      <c r="B9" s="70">
        <v>536000</v>
      </c>
      <c r="C9" s="71">
        <v>200</v>
      </c>
      <c r="D9" s="71">
        <v>8</v>
      </c>
      <c r="E9" s="72">
        <v>20.58</v>
      </c>
      <c r="F9" s="73">
        <v>0.25700000000000001</v>
      </c>
      <c r="G9" s="74">
        <v>7.3</v>
      </c>
      <c r="H9" s="74">
        <v>15.6</v>
      </c>
      <c r="I9" s="74">
        <v>21.58</v>
      </c>
      <c r="J9" s="74">
        <v>44.49</v>
      </c>
      <c r="K9" s="74">
        <v>103.37</v>
      </c>
      <c r="L9" s="74">
        <v>147.87</v>
      </c>
      <c r="M9" s="72">
        <f t="shared" si="0"/>
        <v>3.8910505836575875</v>
      </c>
      <c r="N9" s="75">
        <v>365</v>
      </c>
    </row>
    <row r="10" spans="1:14" x14ac:dyDescent="0.25">
      <c r="A10" s="62" t="s">
        <v>80</v>
      </c>
      <c r="B10" s="63">
        <v>1099000</v>
      </c>
      <c r="C10" s="64">
        <v>200</v>
      </c>
      <c r="D10" s="64">
        <v>8</v>
      </c>
      <c r="E10" s="65">
        <v>25.73</v>
      </c>
      <c r="F10" s="66">
        <v>0.218</v>
      </c>
      <c r="G10" s="67">
        <v>6.18</v>
      </c>
      <c r="H10" s="67">
        <v>16.510000000000002</v>
      </c>
      <c r="I10" s="67">
        <v>37.47</v>
      </c>
      <c r="J10" s="67">
        <v>60.17</v>
      </c>
      <c r="K10" s="67">
        <v>179.45</v>
      </c>
      <c r="L10" s="67">
        <v>239.62</v>
      </c>
      <c r="M10" s="65">
        <f t="shared" si="0"/>
        <v>4.5871559633027523</v>
      </c>
      <c r="N10" s="68">
        <v>500</v>
      </c>
    </row>
    <row r="11" spans="1:14" x14ac:dyDescent="0.25">
      <c r="A11" s="69" t="s">
        <v>81</v>
      </c>
      <c r="B11" s="70">
        <v>1100000</v>
      </c>
      <c r="C11" s="71">
        <v>200</v>
      </c>
      <c r="D11" s="71">
        <v>8</v>
      </c>
      <c r="E11" s="72">
        <v>25.73</v>
      </c>
      <c r="F11" s="73">
        <v>0.17199999999999999</v>
      </c>
      <c r="G11" s="74">
        <v>4.88</v>
      </c>
      <c r="H11" s="74">
        <v>13.03</v>
      </c>
      <c r="I11" s="74">
        <v>29.61</v>
      </c>
      <c r="J11" s="74">
        <v>47.53</v>
      </c>
      <c r="K11" s="74">
        <v>141.80000000000001</v>
      </c>
      <c r="L11" s="74">
        <v>189.34</v>
      </c>
      <c r="M11" s="72">
        <f t="shared" si="0"/>
        <v>5.8139534883720936</v>
      </c>
      <c r="N11" s="75">
        <v>500</v>
      </c>
    </row>
    <row r="12" spans="1:14" x14ac:dyDescent="0.25">
      <c r="A12" s="62" t="s">
        <v>82</v>
      </c>
      <c r="B12" s="63">
        <v>491000</v>
      </c>
      <c r="C12" s="64">
        <v>350</v>
      </c>
      <c r="D12" s="64">
        <v>8</v>
      </c>
      <c r="E12" s="65">
        <v>16.98</v>
      </c>
      <c r="F12" s="66">
        <v>1.4999999999999999E-2</v>
      </c>
      <c r="G12" s="67">
        <v>0.35</v>
      </c>
      <c r="H12" s="67">
        <v>0.75</v>
      </c>
      <c r="I12" s="67">
        <v>0.39</v>
      </c>
      <c r="J12" s="67">
        <v>1.51</v>
      </c>
      <c r="K12" s="67">
        <v>3.17</v>
      </c>
      <c r="L12" s="67">
        <v>4.68</v>
      </c>
      <c r="M12" s="65">
        <f t="shared" si="0"/>
        <v>66.666666666666671</v>
      </c>
      <c r="N12" s="68">
        <v>365</v>
      </c>
    </row>
    <row r="13" spans="1:14" x14ac:dyDescent="0.25">
      <c r="A13" s="69" t="s">
        <v>83</v>
      </c>
      <c r="B13" s="70">
        <v>216000</v>
      </c>
      <c r="C13" s="71">
        <v>350</v>
      </c>
      <c r="D13" s="71">
        <v>8</v>
      </c>
      <c r="E13" s="72">
        <v>9</v>
      </c>
      <c r="F13" s="73">
        <v>1.7000000000000001E-2</v>
      </c>
      <c r="G13" s="74">
        <v>0.41</v>
      </c>
      <c r="H13" s="74">
        <v>0.46</v>
      </c>
      <c r="I13" s="74">
        <v>0.2</v>
      </c>
      <c r="J13" s="74">
        <v>1.0900000000000001</v>
      </c>
      <c r="K13" s="74">
        <v>1.62</v>
      </c>
      <c r="L13" s="74">
        <v>2.71</v>
      </c>
      <c r="M13" s="72">
        <f t="shared" si="0"/>
        <v>58.823529411764703</v>
      </c>
      <c r="N13" s="75">
        <v>175</v>
      </c>
    </row>
    <row r="14" spans="1:14" x14ac:dyDescent="0.25">
      <c r="A14" s="62" t="s">
        <v>84</v>
      </c>
      <c r="B14" s="63">
        <v>276000</v>
      </c>
      <c r="C14" s="64">
        <v>350</v>
      </c>
      <c r="D14" s="64">
        <v>8</v>
      </c>
      <c r="E14" s="65">
        <v>11.81</v>
      </c>
      <c r="F14" s="66">
        <v>1.2999999999999999E-2</v>
      </c>
      <c r="G14" s="67">
        <v>0.31</v>
      </c>
      <c r="H14" s="67">
        <v>0.45</v>
      </c>
      <c r="I14" s="67">
        <v>0.19</v>
      </c>
      <c r="J14" s="67">
        <v>0.96</v>
      </c>
      <c r="K14" s="67">
        <v>1.55</v>
      </c>
      <c r="L14" s="67">
        <v>2.52</v>
      </c>
      <c r="M14" s="65">
        <f t="shared" si="0"/>
        <v>76.92307692307692</v>
      </c>
      <c r="N14" s="68">
        <v>175</v>
      </c>
    </row>
    <row r="15" spans="1:14" x14ac:dyDescent="0.25">
      <c r="A15" s="69" t="s">
        <v>85</v>
      </c>
      <c r="B15" s="70">
        <v>356000</v>
      </c>
      <c r="C15" s="71">
        <v>350</v>
      </c>
      <c r="D15" s="71">
        <v>8</v>
      </c>
      <c r="E15" s="72">
        <v>12.73</v>
      </c>
      <c r="F15" s="73">
        <v>1.0999999999999999E-2</v>
      </c>
      <c r="G15" s="74">
        <v>0.27</v>
      </c>
      <c r="H15" s="74">
        <v>0.44</v>
      </c>
      <c r="I15" s="74">
        <v>0.22</v>
      </c>
      <c r="J15" s="74">
        <v>0.94</v>
      </c>
      <c r="K15" s="74">
        <v>1.78</v>
      </c>
      <c r="L15" s="74">
        <v>2.73</v>
      </c>
      <c r="M15" s="72">
        <f t="shared" si="0"/>
        <v>90.909090909090921</v>
      </c>
      <c r="N15" s="75">
        <v>250</v>
      </c>
    </row>
    <row r="16" spans="1:14" x14ac:dyDescent="0.25">
      <c r="A16" s="62" t="s">
        <v>86</v>
      </c>
      <c r="B16" s="63">
        <v>292000</v>
      </c>
      <c r="C16" s="64">
        <v>350</v>
      </c>
      <c r="D16" s="64">
        <v>8</v>
      </c>
      <c r="E16" s="65">
        <v>12.86</v>
      </c>
      <c r="F16" s="66">
        <v>1.2999999999999999E-2</v>
      </c>
      <c r="G16" s="67">
        <v>0.3</v>
      </c>
      <c r="H16" s="67">
        <v>0.5</v>
      </c>
      <c r="I16" s="67">
        <v>0.2</v>
      </c>
      <c r="J16" s="67">
        <v>1.02</v>
      </c>
      <c r="K16" s="67">
        <v>1.65</v>
      </c>
      <c r="L16" s="67">
        <v>2.67</v>
      </c>
      <c r="M16" s="65">
        <f t="shared" si="0"/>
        <v>76.92307692307692</v>
      </c>
      <c r="N16" s="68">
        <v>250</v>
      </c>
    </row>
    <row r="17" spans="1:14" x14ac:dyDescent="0.25">
      <c r="A17" s="69" t="s">
        <v>87</v>
      </c>
      <c r="B17" s="70">
        <v>391000</v>
      </c>
      <c r="C17" s="71">
        <v>350</v>
      </c>
      <c r="D17" s="71">
        <v>8</v>
      </c>
      <c r="E17" s="72">
        <v>14.15</v>
      </c>
      <c r="F17" s="73">
        <v>0.01</v>
      </c>
      <c r="G17" s="74">
        <v>0.25</v>
      </c>
      <c r="H17" s="74">
        <v>0.44</v>
      </c>
      <c r="I17" s="74">
        <v>0.22</v>
      </c>
      <c r="J17" s="74">
        <v>0.91</v>
      </c>
      <c r="K17" s="74">
        <v>1.76</v>
      </c>
      <c r="L17" s="74">
        <v>2.68</v>
      </c>
      <c r="M17" s="72">
        <f t="shared" si="0"/>
        <v>100</v>
      </c>
      <c r="N17" s="75">
        <v>250</v>
      </c>
    </row>
    <row r="18" spans="1:14" x14ac:dyDescent="0.25">
      <c r="A18" s="62" t="s">
        <v>88</v>
      </c>
      <c r="B18" s="63">
        <v>385000</v>
      </c>
      <c r="C18" s="64">
        <v>350</v>
      </c>
      <c r="D18" s="64">
        <v>8</v>
      </c>
      <c r="E18" s="65">
        <v>14.15</v>
      </c>
      <c r="F18" s="66">
        <v>0.01</v>
      </c>
      <c r="G18" s="67">
        <v>0.25</v>
      </c>
      <c r="H18" s="67">
        <v>0.44</v>
      </c>
      <c r="I18" s="67">
        <v>0.21</v>
      </c>
      <c r="J18" s="67">
        <v>0.91</v>
      </c>
      <c r="K18" s="67">
        <v>1.74</v>
      </c>
      <c r="L18" s="67">
        <v>2.65</v>
      </c>
      <c r="M18" s="65">
        <f t="shared" si="0"/>
        <v>100</v>
      </c>
      <c r="N18" s="68">
        <v>275</v>
      </c>
    </row>
    <row r="19" spans="1:14" x14ac:dyDescent="0.25">
      <c r="A19" s="69" t="s">
        <v>89</v>
      </c>
      <c r="B19" s="70">
        <v>557000</v>
      </c>
      <c r="C19" s="71">
        <v>350</v>
      </c>
      <c r="D19" s="71">
        <v>8</v>
      </c>
      <c r="E19" s="72">
        <v>15.44</v>
      </c>
      <c r="F19" s="73">
        <v>0.01</v>
      </c>
      <c r="G19" s="74">
        <v>0.25</v>
      </c>
      <c r="H19" s="74">
        <v>0.48</v>
      </c>
      <c r="I19" s="74">
        <v>0.31</v>
      </c>
      <c r="J19" s="74">
        <v>1.04</v>
      </c>
      <c r="K19" s="74">
        <v>2.5099999999999998</v>
      </c>
      <c r="L19" s="74">
        <v>3.56</v>
      </c>
      <c r="M19" s="72">
        <f t="shared" si="0"/>
        <v>100</v>
      </c>
      <c r="N19" s="75">
        <v>300</v>
      </c>
    </row>
    <row r="20" spans="1:14" x14ac:dyDescent="0.25">
      <c r="A20" s="62" t="s">
        <v>90</v>
      </c>
      <c r="B20" s="63">
        <v>531000</v>
      </c>
      <c r="C20" s="64">
        <v>350</v>
      </c>
      <c r="D20" s="64">
        <v>8</v>
      </c>
      <c r="E20" s="65">
        <v>15.44</v>
      </c>
      <c r="F20" s="66">
        <v>8.0000000000000002E-3</v>
      </c>
      <c r="G20" s="67">
        <v>0.2</v>
      </c>
      <c r="H20" s="67">
        <v>0.39</v>
      </c>
      <c r="I20" s="67">
        <v>0.25</v>
      </c>
      <c r="J20" s="67">
        <v>0.86</v>
      </c>
      <c r="K20" s="67">
        <v>1.99</v>
      </c>
      <c r="L20" s="67">
        <v>2.86</v>
      </c>
      <c r="M20" s="65">
        <f t="shared" si="0"/>
        <v>125</v>
      </c>
      <c r="N20" s="68">
        <v>300</v>
      </c>
    </row>
  </sheetData>
  <sheetProtection algorithmName="SHA-512" hashValue="xvVaoVMiMpGu9YjMkkwn659Lfs35XcKjtaj8SPgUYltRvgVOXJGuLboHI7+6n3uY1uB7t1OmpfKoyIl99b+Wdg==" saltValue="mxWaXljCN/jWvpJf4cEUcA==" spinCount="100000" sheet="1" objects="1" scenarios="1"/>
  <pageMargins left="0.7" right="0.7" top="0.75" bottom="0.75" header="0.3" footer="0.3"/>
  <pageSetup scale="83" fitToHeight="0" orientation="landscape" r:id="rId1"/>
</worksheet>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Introduction</vt:lpstr>
      <vt:lpstr>Disclaimer</vt:lpstr>
      <vt:lpstr>Instructions</vt:lpstr>
      <vt:lpstr>Tractor &amp; Imp Costs</vt:lpstr>
      <vt:lpstr>Self Propelled Costs</vt:lpstr>
      <vt:lpstr>1 ASABE Salvage Value</vt:lpstr>
      <vt:lpstr>2 ASABE Capital Recovery</vt:lpstr>
      <vt:lpstr>3 ASABE Repairs</vt:lpstr>
      <vt:lpstr>4 Self Propelled</vt:lpstr>
      <vt:lpstr>5 Towed Implements</vt:lpstr>
      <vt:lpstr>6 Combine_Tractor_UTV</vt:lpstr>
      <vt:lpstr>Lists</vt:lpstr>
      <vt:lpstr>References</vt:lpstr>
      <vt:lpstr>Formulas</vt:lpstr>
      <vt:lpstr>Definitions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Morton, Trent - REE-ARS</dc:creator>
  <cp:lastModifiedBy>Torbert, Allen - REE-ARS</cp:lastModifiedBy>
  <cp:lastPrinted>2026-04-08T17:09:58Z</cp:lastPrinted>
  <dcterms:created xsi:type="dcterms:W3CDTF">2026-03-23T15:11:08Z</dcterms:created>
  <dcterms:modified xsi:type="dcterms:W3CDTF">2026-05-02T13:47:53Z</dcterms:modified>
</cp:coreProperties>
</file>